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drawings/drawing1.xml" ContentType="application/vnd.openxmlformats-officedocument.drawing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36a9f99d49f6e47c/Documents/Documents/A Director/Allocations WIA15/"/>
    </mc:Choice>
  </mc:AlternateContent>
  <xr:revisionPtr revIDLastSave="329" documentId="8_{F7CF896E-451F-44B5-A032-83AD30BFDCA8}" xr6:coauthVersionLast="47" xr6:coauthVersionMax="47" xr10:uidLastSave="{C6FF0D98-F4D7-4716-85C3-00226BFAB44F}"/>
  <bookViews>
    <workbookView xWindow="28680" yWindow="-120" windowWidth="19440" windowHeight="10320" xr2:uid="{00000000-000D-0000-FFFF-FFFF00000000}"/>
  </bookViews>
  <sheets>
    <sheet name="7-01-2022 to 6-30-2023" sheetId="15" r:id="rId1"/>
    <sheet name="State eml 4-1-22 Scott France" sheetId="16" r:id="rId2"/>
    <sheet name="7-01-2021 to 6-30-2022" sheetId="14" r:id="rId3"/>
    <sheet name="State eml 6-1-21 Anne Dennison" sheetId="12" r:id="rId4"/>
    <sheet name="7-01-2020 to 6-30-2021" sheetId="10" r:id="rId5"/>
    <sheet name="SFY21_WIOA_Allocations" sheetId="11" r:id="rId6"/>
    <sheet name="07012019 to 06302020" sheetId="8" r:id="rId7"/>
    <sheet name="Scott 5-29-19" sheetId="9" r:id="rId8"/>
    <sheet name="Orig Scott 5-10-18" sheetId="5" r:id="rId9"/>
    <sheet name="Sara Ballard eml 6-5-18" sheetId="4" r:id="rId10"/>
    <sheet name="07012018 to 06302019" sheetId="3" r:id="rId11"/>
    <sheet name="Add'l 7012017 to 6302018" sheetId="6" r:id="rId12"/>
    <sheet name="Given May-June 2017 CFIS screen" sheetId="7" r:id="rId13"/>
  </sheets>
  <externalReferences>
    <externalReference r:id="rId14"/>
    <externalReference r:id="rId15"/>
    <externalReference r:id="rId16"/>
    <externalReference r:id="rId17"/>
    <externalReference r:id="rId18"/>
  </externalReferences>
  <definedNames>
    <definedName name="Adult">'[1] TEGL 16-18'!$B$4</definedName>
    <definedName name="DW">'[1] TEGL 16-18'!$B$5</definedName>
    <definedName name="LAW_convert">[2]LAW_convert!$A$2:$B$22</definedName>
    <definedName name="Pa">#REF!</definedName>
    <definedName name="pov_2019">#REF!</definedName>
    <definedName name="pov_2020">#REF!</definedName>
    <definedName name="_xlnm.Print_Area" localSheetId="10">'07012018 to 06302019'!$A$1:$X$65</definedName>
    <definedName name="_xlnm.Print_Area" localSheetId="6">'07012019 to 06302020'!$A$1:$Y$65</definedName>
    <definedName name="_xlnm.Print_Area" localSheetId="4">'7-01-2020 to 6-30-2021'!$A$1:$R$65</definedName>
    <definedName name="_xlnm.Print_Area" localSheetId="2">'7-01-2021 to 6-30-2022'!$A$1:$S$65</definedName>
    <definedName name="_xlnm.Print_Area" localSheetId="0">'7-01-2022 to 6-30-2023'!$A$1:$T$65</definedName>
    <definedName name="_xlnm.Print_Area" localSheetId="11">'Add''l 7012017 to 6302018'!$A$1:$O$65</definedName>
    <definedName name="_xlnm.Print_Area">#REF!</definedName>
    <definedName name="S30906_050">#REF!</definedName>
    <definedName name="Youth">'[1] TEGL 16-18'!$B$6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67" i="15" l="1"/>
  <c r="F66" i="15"/>
  <c r="F65" i="15"/>
  <c r="D65" i="15"/>
  <c r="H65" i="15"/>
  <c r="S40" i="15"/>
  <c r="V31" i="15"/>
  <c r="V12" i="15"/>
  <c r="C62" i="15"/>
  <c r="C61" i="15"/>
  <c r="C53" i="15"/>
  <c r="C51" i="15"/>
  <c r="R42" i="15" l="1"/>
  <c r="S23" i="15"/>
  <c r="R23" i="15"/>
  <c r="C38" i="15"/>
  <c r="F38" i="15" s="1"/>
  <c r="C39" i="15"/>
  <c r="C37" i="15"/>
  <c r="F37" i="15" s="1"/>
  <c r="C28" i="15"/>
  <c r="C29" i="15"/>
  <c r="C30" i="15"/>
  <c r="C31" i="15"/>
  <c r="C27" i="15"/>
  <c r="C19" i="15"/>
  <c r="C20" i="15"/>
  <c r="C21" i="15"/>
  <c r="C18" i="15"/>
  <c r="C9" i="15"/>
  <c r="F9" i="15" s="1"/>
  <c r="C10" i="15"/>
  <c r="C11" i="15"/>
  <c r="C12" i="15"/>
  <c r="C8" i="15"/>
  <c r="C59" i="15"/>
  <c r="C60" i="15"/>
  <c r="C58" i="15"/>
  <c r="E58" i="15" s="1"/>
  <c r="C52" i="15"/>
  <c r="C49" i="15"/>
  <c r="C50" i="15"/>
  <c r="D71" i="15"/>
  <c r="C48" i="15"/>
  <c r="F48" i="15" s="1"/>
  <c r="R38" i="15"/>
  <c r="S38" i="15"/>
  <c r="R39" i="15"/>
  <c r="S39" i="15"/>
  <c r="R40" i="15"/>
  <c r="R41" i="15" s="1"/>
  <c r="R37" i="15"/>
  <c r="S37" i="15"/>
  <c r="S31" i="15"/>
  <c r="R31" i="15"/>
  <c r="R28" i="15"/>
  <c r="S28" i="15"/>
  <c r="T28" i="15" s="1"/>
  <c r="R29" i="15"/>
  <c r="S29" i="15"/>
  <c r="R30" i="15"/>
  <c r="T30" i="15" s="1"/>
  <c r="S30" i="15"/>
  <c r="S27" i="15"/>
  <c r="R27" i="15"/>
  <c r="T27" i="15" s="1"/>
  <c r="S12" i="15"/>
  <c r="R12" i="15"/>
  <c r="R9" i="15"/>
  <c r="S9" i="15"/>
  <c r="R10" i="15"/>
  <c r="S10" i="15"/>
  <c r="R11" i="15"/>
  <c r="S11" i="15"/>
  <c r="S8" i="15"/>
  <c r="R8" i="15"/>
  <c r="R19" i="15"/>
  <c r="S19" i="15"/>
  <c r="R20" i="15"/>
  <c r="S20" i="15"/>
  <c r="R21" i="15"/>
  <c r="S21" i="15"/>
  <c r="T21" i="15" s="1"/>
  <c r="S18" i="15"/>
  <c r="R18" i="15"/>
  <c r="Z9" i="16"/>
  <c r="Y9" i="16"/>
  <c r="Z8" i="16"/>
  <c r="Y8" i="16"/>
  <c r="Z7" i="16"/>
  <c r="Y7" i="16"/>
  <c r="Z6" i="16"/>
  <c r="Y6" i="16"/>
  <c r="AA11" i="16"/>
  <c r="AB9" i="16"/>
  <c r="AA9" i="16"/>
  <c r="AB8" i="16"/>
  <c r="AA8" i="16"/>
  <c r="AB7" i="16"/>
  <c r="AA7" i="16"/>
  <c r="AB6" i="16"/>
  <c r="AA6" i="16"/>
  <c r="Z17" i="16"/>
  <c r="Y17" i="16"/>
  <c r="Z16" i="16"/>
  <c r="Y16" i="16"/>
  <c r="Z15" i="16"/>
  <c r="Y15" i="16"/>
  <c r="Z14" i="16"/>
  <c r="Y14" i="16"/>
  <c r="Z25" i="16"/>
  <c r="Y25" i="16"/>
  <c r="X25" i="16"/>
  <c r="W9" i="16" s="1"/>
  <c r="Z24" i="16"/>
  <c r="Y24" i="16"/>
  <c r="X24" i="16"/>
  <c r="X8" i="16" s="1"/>
  <c r="Z23" i="16"/>
  <c r="Y23" i="16"/>
  <c r="W15" i="16" s="1"/>
  <c r="X23" i="16"/>
  <c r="Z22" i="16"/>
  <c r="Y22" i="16"/>
  <c r="X14" i="16" s="1"/>
  <c r="X22" i="16"/>
  <c r="W6" i="16"/>
  <c r="X17" i="16"/>
  <c r="W17" i="16"/>
  <c r="X16" i="16"/>
  <c r="W16" i="16"/>
  <c r="X15" i="16"/>
  <c r="X9" i="16"/>
  <c r="X7" i="16"/>
  <c r="W7" i="16"/>
  <c r="X6" i="16"/>
  <c r="W12" i="16"/>
  <c r="P9" i="16"/>
  <c r="S7" i="16"/>
  <c r="S6" i="16"/>
  <c r="F10" i="16"/>
  <c r="U8" i="16" s="1"/>
  <c r="E10" i="16"/>
  <c r="U7" i="16" s="1"/>
  <c r="D10" i="16"/>
  <c r="U6" i="16" s="1"/>
  <c r="N9" i="16"/>
  <c r="M9" i="16"/>
  <c r="L9" i="16"/>
  <c r="K9" i="16"/>
  <c r="J9" i="16"/>
  <c r="I9" i="16"/>
  <c r="G9" i="16"/>
  <c r="N8" i="16"/>
  <c r="M8" i="16"/>
  <c r="L8" i="16"/>
  <c r="K8" i="16"/>
  <c r="J8" i="16"/>
  <c r="I8" i="16"/>
  <c r="G8" i="16"/>
  <c r="N7" i="16"/>
  <c r="M7" i="16"/>
  <c r="L7" i="16"/>
  <c r="K7" i="16"/>
  <c r="J7" i="16"/>
  <c r="I7" i="16"/>
  <c r="G7" i="16"/>
  <c r="N6" i="16"/>
  <c r="M6" i="16"/>
  <c r="L6" i="16"/>
  <c r="K6" i="16"/>
  <c r="J6" i="16"/>
  <c r="I6" i="16"/>
  <c r="G6" i="16"/>
  <c r="D68" i="15"/>
  <c r="E49" i="15"/>
  <c r="H62" i="15"/>
  <c r="H57" i="15"/>
  <c r="H53" i="15"/>
  <c r="H41" i="15"/>
  <c r="H36" i="15"/>
  <c r="H32" i="15"/>
  <c r="H26" i="15"/>
  <c r="H22" i="15"/>
  <c r="H17" i="15"/>
  <c r="H13" i="15"/>
  <c r="O62" i="15"/>
  <c r="N62" i="15"/>
  <c r="M62" i="15"/>
  <c r="L62" i="15"/>
  <c r="K62" i="15"/>
  <c r="J62" i="15"/>
  <c r="I62" i="15"/>
  <c r="D62" i="15"/>
  <c r="F61" i="15"/>
  <c r="E60" i="15"/>
  <c r="E59" i="15"/>
  <c r="O57" i="15"/>
  <c r="N57" i="15"/>
  <c r="M57" i="15"/>
  <c r="L57" i="15"/>
  <c r="K57" i="15"/>
  <c r="J57" i="15"/>
  <c r="I57" i="15"/>
  <c r="C57" i="15"/>
  <c r="O53" i="15"/>
  <c r="N53" i="15"/>
  <c r="M53" i="15"/>
  <c r="L53" i="15"/>
  <c r="K53" i="15"/>
  <c r="J53" i="15"/>
  <c r="I53" i="15"/>
  <c r="D53" i="15"/>
  <c r="P41" i="15"/>
  <c r="O41" i="15"/>
  <c r="N41" i="15"/>
  <c r="M41" i="15"/>
  <c r="L41" i="15"/>
  <c r="K41" i="15"/>
  <c r="J41" i="15"/>
  <c r="I41" i="15"/>
  <c r="D41" i="15"/>
  <c r="K36" i="15"/>
  <c r="J36" i="15"/>
  <c r="I36" i="15"/>
  <c r="C36" i="15"/>
  <c r="P32" i="15"/>
  <c r="O32" i="15"/>
  <c r="N32" i="15"/>
  <c r="M32" i="15"/>
  <c r="L32" i="15"/>
  <c r="K32" i="15"/>
  <c r="J32" i="15"/>
  <c r="I32" i="15"/>
  <c r="D32" i="15"/>
  <c r="F30" i="15"/>
  <c r="T29" i="15"/>
  <c r="F29" i="15"/>
  <c r="S26" i="15"/>
  <c r="S36" i="15" s="1"/>
  <c r="R26" i="15"/>
  <c r="R36" i="15" s="1"/>
  <c r="K26" i="15"/>
  <c r="J26" i="15"/>
  <c r="I26" i="15"/>
  <c r="C26" i="15"/>
  <c r="P22" i="15"/>
  <c r="O22" i="15"/>
  <c r="N22" i="15"/>
  <c r="M22" i="15"/>
  <c r="L22" i="15"/>
  <c r="K22" i="15"/>
  <c r="J22" i="15"/>
  <c r="I22" i="15"/>
  <c r="D22" i="15"/>
  <c r="F21" i="15"/>
  <c r="S17" i="15"/>
  <c r="R17" i="15"/>
  <c r="K17" i="15"/>
  <c r="J17" i="15"/>
  <c r="I17" i="15"/>
  <c r="C17" i="15"/>
  <c r="C16" i="15"/>
  <c r="P13" i="15"/>
  <c r="O13" i="15"/>
  <c r="N13" i="15"/>
  <c r="M13" i="15"/>
  <c r="L13" i="15"/>
  <c r="K13" i="15"/>
  <c r="J13" i="15"/>
  <c r="J64" i="15" s="1"/>
  <c r="I13" i="15"/>
  <c r="D13" i="15"/>
  <c r="T10" i="15"/>
  <c r="T9" i="15"/>
  <c r="J1" i="15"/>
  <c r="H65" i="14"/>
  <c r="V50" i="14"/>
  <c r="T54" i="14"/>
  <c r="T53" i="14"/>
  <c r="T52" i="14"/>
  <c r="T31" i="14"/>
  <c r="T32" i="14"/>
  <c r="T12" i="14"/>
  <c r="T13" i="14"/>
  <c r="R41" i="14"/>
  <c r="R40" i="14"/>
  <c r="D72" i="15" l="1"/>
  <c r="D70" i="15"/>
  <c r="D69" i="15"/>
  <c r="E52" i="15"/>
  <c r="E51" i="15"/>
  <c r="F51" i="15"/>
  <c r="F50" i="15"/>
  <c r="T37" i="15"/>
  <c r="S22" i="15"/>
  <c r="W14" i="16"/>
  <c r="W18" i="16" s="1"/>
  <c r="W8" i="16"/>
  <c r="W10" i="16" s="1"/>
  <c r="X26" i="16"/>
  <c r="N10" i="16"/>
  <c r="G10" i="16"/>
  <c r="P10" i="16" s="1"/>
  <c r="J10" i="16"/>
  <c r="J12" i="16" s="1"/>
  <c r="Y26" i="16"/>
  <c r="L10" i="16"/>
  <c r="Z26" i="16"/>
  <c r="I10" i="16"/>
  <c r="K10" i="16"/>
  <c r="M10" i="16"/>
  <c r="N11" i="16" s="1"/>
  <c r="U9" i="16"/>
  <c r="AB10" i="16"/>
  <c r="Y10" i="16"/>
  <c r="X10" i="16"/>
  <c r="Z10" i="16"/>
  <c r="X18" i="16"/>
  <c r="Z18" i="16"/>
  <c r="L11" i="16"/>
  <c r="D73" i="15"/>
  <c r="F62" i="15"/>
  <c r="F49" i="15"/>
  <c r="H64" i="15"/>
  <c r="L64" i="15"/>
  <c r="M64" i="15"/>
  <c r="N64" i="15"/>
  <c r="N65" i="15" s="1"/>
  <c r="T11" i="15"/>
  <c r="T38" i="15"/>
  <c r="O64" i="15"/>
  <c r="F20" i="15"/>
  <c r="F31" i="15"/>
  <c r="E30" i="15"/>
  <c r="D64" i="15"/>
  <c r="I64" i="15"/>
  <c r="I65" i="15" s="1"/>
  <c r="P64" i="15"/>
  <c r="E18" i="15"/>
  <c r="K64" i="15"/>
  <c r="K65" i="15" s="1"/>
  <c r="T18" i="15"/>
  <c r="T40" i="15"/>
  <c r="C40" i="15" s="1"/>
  <c r="F40" i="15" s="1"/>
  <c r="F59" i="15"/>
  <c r="C22" i="15"/>
  <c r="E40" i="15"/>
  <c r="E31" i="15"/>
  <c r="L65" i="15"/>
  <c r="F11" i="15"/>
  <c r="E11" i="15"/>
  <c r="O65" i="15"/>
  <c r="F39" i="15"/>
  <c r="E39" i="15"/>
  <c r="C69" i="15"/>
  <c r="F19" i="15"/>
  <c r="E19" i="15"/>
  <c r="R32" i="15"/>
  <c r="S41" i="15"/>
  <c r="S42" i="15" s="1"/>
  <c r="E38" i="15"/>
  <c r="F27" i="15"/>
  <c r="E50" i="15"/>
  <c r="F52" i="15"/>
  <c r="F60" i="15"/>
  <c r="C71" i="15"/>
  <c r="C73" i="15" s="1"/>
  <c r="S32" i="15"/>
  <c r="T8" i="15"/>
  <c r="T20" i="15"/>
  <c r="E27" i="15"/>
  <c r="T31" i="15"/>
  <c r="T32" i="15" s="1"/>
  <c r="E9" i="15"/>
  <c r="T19" i="15"/>
  <c r="E21" i="15"/>
  <c r="E29" i="15"/>
  <c r="E37" i="15"/>
  <c r="T39" i="15"/>
  <c r="R13" i="15"/>
  <c r="R22" i="15"/>
  <c r="E48" i="15"/>
  <c r="F58" i="15"/>
  <c r="E61" i="15"/>
  <c r="Q67" i="14"/>
  <c r="C41" i="15" l="1"/>
  <c r="F41" i="15" s="1"/>
  <c r="C63" i="15"/>
  <c r="W11" i="16"/>
  <c r="AA10" i="16"/>
  <c r="U10" i="16"/>
  <c r="W19" i="16"/>
  <c r="I12" i="16"/>
  <c r="J11" i="16"/>
  <c r="Y11" i="16"/>
  <c r="Y18" i="16"/>
  <c r="Y19" i="16" s="1"/>
  <c r="M65" i="15"/>
  <c r="C32" i="15"/>
  <c r="F32" i="15" s="1"/>
  <c r="E62" i="15"/>
  <c r="T41" i="15"/>
  <c r="C70" i="15"/>
  <c r="E20" i="15"/>
  <c r="C68" i="15"/>
  <c r="E73" i="15" s="1"/>
  <c r="F18" i="15"/>
  <c r="J65" i="15"/>
  <c r="T22" i="15"/>
  <c r="F10" i="15"/>
  <c r="E10" i="15"/>
  <c r="S13" i="15"/>
  <c r="E28" i="15"/>
  <c r="F28" i="15"/>
  <c r="F22" i="15"/>
  <c r="E22" i="15"/>
  <c r="E12" i="15"/>
  <c r="F12" i="15"/>
  <c r="E53" i="15"/>
  <c r="F53" i="15"/>
  <c r="E8" i="15"/>
  <c r="C13" i="15"/>
  <c r="F8" i="15"/>
  <c r="E41" i="15"/>
  <c r="T12" i="15"/>
  <c r="C62" i="14"/>
  <c r="C60" i="14"/>
  <c r="Q41" i="14"/>
  <c r="Q37" i="14"/>
  <c r="Q22" i="14"/>
  <c r="Q18" i="14"/>
  <c r="E32" i="15" l="1"/>
  <c r="F13" i="15"/>
  <c r="E13" i="15"/>
  <c r="C64" i="15"/>
  <c r="C65" i="15" s="1"/>
  <c r="T13" i="15"/>
  <c r="D64" i="14"/>
  <c r="F14" i="12"/>
  <c r="F15" i="12" s="1"/>
  <c r="L14" i="12"/>
  <c r="I14" i="12"/>
  <c r="L12" i="12"/>
  <c r="K12" i="12"/>
  <c r="J12" i="12"/>
  <c r="I12" i="12"/>
  <c r="H12" i="12"/>
  <c r="G12" i="12"/>
  <c r="F12" i="12"/>
  <c r="E12" i="12"/>
  <c r="D12" i="12"/>
  <c r="L11" i="12"/>
  <c r="K11" i="12"/>
  <c r="J11" i="12"/>
  <c r="I11" i="12"/>
  <c r="H11" i="12"/>
  <c r="G11" i="12"/>
  <c r="F11" i="12"/>
  <c r="E11" i="12"/>
  <c r="D11" i="12"/>
  <c r="C69" i="14"/>
  <c r="C68" i="14"/>
  <c r="I64" i="14"/>
  <c r="F16" i="12" l="1"/>
  <c r="R31" i="14"/>
  <c r="R29" i="14"/>
  <c r="R30" i="14"/>
  <c r="R28" i="14"/>
  <c r="R27" i="14"/>
  <c r="C59" i="14"/>
  <c r="C61" i="14"/>
  <c r="C58" i="14"/>
  <c r="C52" i="14"/>
  <c r="C49" i="14"/>
  <c r="C50" i="14"/>
  <c r="C51" i="14"/>
  <c r="C48" i="14"/>
  <c r="Q38" i="14"/>
  <c r="R38" i="14"/>
  <c r="Q39" i="14"/>
  <c r="R39" i="14"/>
  <c r="Q40" i="14"/>
  <c r="R37" i="14"/>
  <c r="Q31" i="14"/>
  <c r="R12" i="14"/>
  <c r="Q19" i="14"/>
  <c r="R19" i="14"/>
  <c r="Q20" i="14"/>
  <c r="R20" i="14"/>
  <c r="Q21" i="14"/>
  <c r="R21" i="14"/>
  <c r="R18" i="14"/>
  <c r="R9" i="14"/>
  <c r="R10" i="14"/>
  <c r="R11" i="14"/>
  <c r="R8" i="14"/>
  <c r="Q12" i="14"/>
  <c r="D65" i="14"/>
  <c r="I65" i="14"/>
  <c r="C36" i="14"/>
  <c r="C26" i="14"/>
  <c r="C17" i="14"/>
  <c r="H62" i="14"/>
  <c r="H57" i="14"/>
  <c r="H53" i="14"/>
  <c r="H41" i="14"/>
  <c r="H36" i="14"/>
  <c r="H32" i="14"/>
  <c r="H26" i="14"/>
  <c r="H22" i="14"/>
  <c r="H17" i="14"/>
  <c r="H13" i="14"/>
  <c r="H64" i="14" s="1"/>
  <c r="N62" i="14" l="1"/>
  <c r="M62" i="14"/>
  <c r="L62" i="14"/>
  <c r="K62" i="14"/>
  <c r="J62" i="14"/>
  <c r="I62" i="14"/>
  <c r="D62" i="14"/>
  <c r="F61" i="14"/>
  <c r="E60" i="14"/>
  <c r="F60" i="14"/>
  <c r="E59" i="14"/>
  <c r="F59" i="14"/>
  <c r="F58" i="14"/>
  <c r="N57" i="14"/>
  <c r="M57" i="14"/>
  <c r="L57" i="14"/>
  <c r="K57" i="14"/>
  <c r="J57" i="14"/>
  <c r="I57" i="14"/>
  <c r="D57" i="14"/>
  <c r="C57" i="14"/>
  <c r="N53" i="14"/>
  <c r="M53" i="14"/>
  <c r="L53" i="14"/>
  <c r="K53" i="14"/>
  <c r="J53" i="14"/>
  <c r="I53" i="14"/>
  <c r="D53" i="14"/>
  <c r="F52" i="14"/>
  <c r="F51" i="14"/>
  <c r="F49" i="14"/>
  <c r="F48" i="14"/>
  <c r="D42" i="14"/>
  <c r="O41" i="14"/>
  <c r="N41" i="14"/>
  <c r="M41" i="14"/>
  <c r="L41" i="14"/>
  <c r="K41" i="14"/>
  <c r="J41" i="14"/>
  <c r="I41" i="14"/>
  <c r="D41" i="14"/>
  <c r="C40" i="14"/>
  <c r="C37" i="14"/>
  <c r="F37" i="14" s="1"/>
  <c r="J36" i="14"/>
  <c r="I36" i="14"/>
  <c r="D36" i="14"/>
  <c r="O32" i="14"/>
  <c r="N32" i="14"/>
  <c r="M32" i="14"/>
  <c r="L32" i="14"/>
  <c r="K32" i="14"/>
  <c r="J32" i="14"/>
  <c r="I32" i="14"/>
  <c r="D32" i="14"/>
  <c r="S31" i="14"/>
  <c r="C31" i="14"/>
  <c r="F31" i="14" s="1"/>
  <c r="C30" i="14"/>
  <c r="S28" i="14"/>
  <c r="Q32" i="14"/>
  <c r="C27" i="14"/>
  <c r="F27" i="14" s="1"/>
  <c r="R26" i="14"/>
  <c r="R36" i="14" s="1"/>
  <c r="Q26" i="14"/>
  <c r="Q36" i="14" s="1"/>
  <c r="J26" i="14"/>
  <c r="I26" i="14"/>
  <c r="D26" i="14"/>
  <c r="D23" i="14"/>
  <c r="O22" i="14"/>
  <c r="N22" i="14"/>
  <c r="M22" i="14"/>
  <c r="L22" i="14"/>
  <c r="K22" i="14"/>
  <c r="J22" i="14"/>
  <c r="I22" i="14"/>
  <c r="D22" i="14"/>
  <c r="S21" i="14"/>
  <c r="S20" i="14"/>
  <c r="C20" i="14"/>
  <c r="E20" i="14" s="1"/>
  <c r="C19" i="14"/>
  <c r="F19" i="14" s="1"/>
  <c r="R17" i="14"/>
  <c r="Q17" i="14"/>
  <c r="J17" i="14"/>
  <c r="I17" i="14"/>
  <c r="D17" i="14"/>
  <c r="C16" i="14"/>
  <c r="O13" i="14"/>
  <c r="N13" i="14"/>
  <c r="M13" i="14"/>
  <c r="M64" i="14" s="1"/>
  <c r="L13" i="14"/>
  <c r="L64" i="14" s="1"/>
  <c r="K13" i="14"/>
  <c r="K64" i="14" s="1"/>
  <c r="J13" i="14"/>
  <c r="J64" i="14" s="1"/>
  <c r="J65" i="14" s="1"/>
  <c r="I13" i="14"/>
  <c r="D13" i="14"/>
  <c r="C12" i="14"/>
  <c r="C10" i="14"/>
  <c r="S9" i="14"/>
  <c r="C8" i="14"/>
  <c r="F8" i="14" s="1"/>
  <c r="Q1" i="14"/>
  <c r="F40" i="14" l="1"/>
  <c r="C70" i="14"/>
  <c r="F62" i="14"/>
  <c r="E8" i="14"/>
  <c r="S10" i="14"/>
  <c r="K65" i="14"/>
  <c r="S19" i="14"/>
  <c r="C39" i="14"/>
  <c r="E39" i="14" s="1"/>
  <c r="E48" i="14"/>
  <c r="E58" i="14"/>
  <c r="S27" i="14"/>
  <c r="C11" i="14"/>
  <c r="F11" i="14" s="1"/>
  <c r="F20" i="14"/>
  <c r="C9" i="14"/>
  <c r="F9" i="14" s="1"/>
  <c r="S12" i="14"/>
  <c r="Q71" i="14" s="1"/>
  <c r="N64" i="14"/>
  <c r="N65" i="14" s="1"/>
  <c r="C18" i="14"/>
  <c r="R32" i="14"/>
  <c r="S40" i="14"/>
  <c r="E49" i="14"/>
  <c r="C38" i="14"/>
  <c r="R13" i="14"/>
  <c r="R22" i="14"/>
  <c r="O64" i="14"/>
  <c r="Q13" i="14"/>
  <c r="Q68" i="14"/>
  <c r="S29" i="14"/>
  <c r="S37" i="14"/>
  <c r="C53" i="14"/>
  <c r="E53" i="14" s="1"/>
  <c r="F12" i="14"/>
  <c r="E12" i="14"/>
  <c r="F53" i="14"/>
  <c r="E30" i="14"/>
  <c r="F30" i="14"/>
  <c r="F10" i="14"/>
  <c r="E10" i="14"/>
  <c r="F38" i="14"/>
  <c r="E38" i="14"/>
  <c r="L65" i="14"/>
  <c r="S8" i="14"/>
  <c r="C21" i="14"/>
  <c r="C29" i="14"/>
  <c r="E37" i="14"/>
  <c r="S39" i="14"/>
  <c r="S41" i="14" s="1"/>
  <c r="F50" i="14"/>
  <c r="E62" i="14"/>
  <c r="S11" i="14"/>
  <c r="C28" i="14"/>
  <c r="S38" i="14"/>
  <c r="E40" i="14"/>
  <c r="E51" i="14"/>
  <c r="S18" i="14"/>
  <c r="S22" i="14" s="1"/>
  <c r="S30" i="14"/>
  <c r="E61" i="14"/>
  <c r="E19" i="14"/>
  <c r="E27" i="14"/>
  <c r="E31" i="14"/>
  <c r="E52" i="14"/>
  <c r="E50" i="14"/>
  <c r="Q21" i="10"/>
  <c r="E18" i="14" l="1"/>
  <c r="C67" i="14"/>
  <c r="C71" i="14" s="1"/>
  <c r="F39" i="14"/>
  <c r="C41" i="14"/>
  <c r="F41" i="14" s="1"/>
  <c r="Q69" i="14"/>
  <c r="Q70" i="14"/>
  <c r="S32" i="14"/>
  <c r="E11" i="14"/>
  <c r="C13" i="14"/>
  <c r="M65" i="14"/>
  <c r="E9" i="14"/>
  <c r="F18" i="14"/>
  <c r="C22" i="14"/>
  <c r="E41" i="14"/>
  <c r="F28" i="14"/>
  <c r="E28" i="14"/>
  <c r="E29" i="14"/>
  <c r="F29" i="14"/>
  <c r="E21" i="14"/>
  <c r="F21" i="14"/>
  <c r="C32" i="14"/>
  <c r="S13" i="14"/>
  <c r="P40" i="10"/>
  <c r="P21" i="10"/>
  <c r="C42" i="14" l="1"/>
  <c r="F22" i="14"/>
  <c r="C64" i="14"/>
  <c r="C65" i="14" s="1"/>
  <c r="Q72" i="14"/>
  <c r="E13" i="14"/>
  <c r="F13" i="14"/>
  <c r="E22" i="14"/>
  <c r="C23" i="14"/>
  <c r="F32" i="14"/>
  <c r="E32" i="14"/>
  <c r="M57" i="10"/>
  <c r="K57" i="10"/>
  <c r="G19" i="11" l="1"/>
  <c r="F19" i="11"/>
  <c r="F20" i="11" s="1"/>
  <c r="D67" i="10"/>
  <c r="E67" i="10" s="1"/>
  <c r="C59" i="10"/>
  <c r="C60" i="10"/>
  <c r="E60" i="10" s="1"/>
  <c r="C61" i="10"/>
  <c r="F61" i="10" s="1"/>
  <c r="C58" i="10"/>
  <c r="F58" i="10" s="1"/>
  <c r="C52" i="10"/>
  <c r="F52" i="10" s="1"/>
  <c r="C49" i="10"/>
  <c r="F49" i="10" s="1"/>
  <c r="C50" i="10"/>
  <c r="C51" i="10"/>
  <c r="C48" i="10"/>
  <c r="P38" i="10"/>
  <c r="R38" i="10" s="1"/>
  <c r="Q38" i="10"/>
  <c r="P39" i="10"/>
  <c r="Q39" i="10"/>
  <c r="R39" i="10" s="1"/>
  <c r="R40" i="10"/>
  <c r="Q40" i="10"/>
  <c r="Q37" i="10"/>
  <c r="P37" i="10"/>
  <c r="Q31" i="10"/>
  <c r="P31" i="10"/>
  <c r="P28" i="10"/>
  <c r="Q28" i="10"/>
  <c r="R28" i="10" s="1"/>
  <c r="P29" i="10"/>
  <c r="Q29" i="10"/>
  <c r="P30" i="10"/>
  <c r="Q30" i="10"/>
  <c r="P27" i="10"/>
  <c r="Q27" i="10"/>
  <c r="Q19" i="10"/>
  <c r="R19" i="10" s="1"/>
  <c r="Q20" i="10"/>
  <c r="R20" i="10" s="1"/>
  <c r="Q18" i="10"/>
  <c r="P19" i="10"/>
  <c r="P20" i="10"/>
  <c r="P18" i="10"/>
  <c r="P12" i="10"/>
  <c r="Q12" i="10"/>
  <c r="Q9" i="10"/>
  <c r="Q10" i="10"/>
  <c r="Q11" i="10"/>
  <c r="Q8" i="10"/>
  <c r="P9" i="10"/>
  <c r="P10" i="10"/>
  <c r="R10" i="10" s="1"/>
  <c r="P11" i="10"/>
  <c r="C11" i="10" s="1"/>
  <c r="F11" i="10" s="1"/>
  <c r="P8" i="10"/>
  <c r="H62" i="10"/>
  <c r="H57" i="10"/>
  <c r="H53" i="10"/>
  <c r="H41" i="10"/>
  <c r="H36" i="10"/>
  <c r="H32" i="10"/>
  <c r="H26" i="10"/>
  <c r="H22" i="10"/>
  <c r="H17" i="10"/>
  <c r="H13" i="10"/>
  <c r="D70" i="10"/>
  <c r="E70" i="10" s="1"/>
  <c r="D69" i="10"/>
  <c r="E69" i="10" s="1"/>
  <c r="D68" i="10"/>
  <c r="E68" i="10" s="1"/>
  <c r="M62" i="10"/>
  <c r="L62" i="10"/>
  <c r="K62" i="10"/>
  <c r="J62" i="10"/>
  <c r="I62" i="10"/>
  <c r="D62" i="10"/>
  <c r="F59" i="10"/>
  <c r="L57" i="10"/>
  <c r="J57" i="10"/>
  <c r="I57" i="10"/>
  <c r="D57" i="10"/>
  <c r="C57" i="10"/>
  <c r="M53" i="10"/>
  <c r="L53" i="10"/>
  <c r="K53" i="10"/>
  <c r="J53" i="10"/>
  <c r="I53" i="10"/>
  <c r="D53" i="10"/>
  <c r="F51" i="10"/>
  <c r="F50" i="10"/>
  <c r="N41" i="10"/>
  <c r="M41" i="10"/>
  <c r="L41" i="10"/>
  <c r="K41" i="10"/>
  <c r="J41" i="10"/>
  <c r="I41" i="10"/>
  <c r="D41" i="10"/>
  <c r="C40" i="10"/>
  <c r="F40" i="10" s="1"/>
  <c r="I36" i="10"/>
  <c r="D36" i="10"/>
  <c r="N32" i="10"/>
  <c r="M32" i="10"/>
  <c r="L32" i="10"/>
  <c r="K32" i="10"/>
  <c r="J32" i="10"/>
  <c r="I32" i="10"/>
  <c r="D32" i="10"/>
  <c r="R30" i="10"/>
  <c r="Q26" i="10"/>
  <c r="Q36" i="10" s="1"/>
  <c r="P26" i="10"/>
  <c r="P36" i="10" s="1"/>
  <c r="I26" i="10"/>
  <c r="D26" i="10"/>
  <c r="N22" i="10"/>
  <c r="M22" i="10"/>
  <c r="L22" i="10"/>
  <c r="K22" i="10"/>
  <c r="J22" i="10"/>
  <c r="I22" i="10"/>
  <c r="D22" i="10"/>
  <c r="R21" i="10"/>
  <c r="C21" i="10"/>
  <c r="F21" i="10" s="1"/>
  <c r="Q17" i="10"/>
  <c r="P17" i="10"/>
  <c r="I17" i="10"/>
  <c r="D17" i="10"/>
  <c r="C16" i="10"/>
  <c r="N13" i="10"/>
  <c r="M13" i="10"/>
  <c r="L13" i="10"/>
  <c r="K13" i="10"/>
  <c r="J13" i="10"/>
  <c r="I13" i="10"/>
  <c r="D13" i="10"/>
  <c r="P1" i="10"/>
  <c r="P13" i="10" l="1"/>
  <c r="P22" i="10"/>
  <c r="C38" i="10"/>
  <c r="F38" i="10" s="1"/>
  <c r="R37" i="10"/>
  <c r="Q41" i="10"/>
  <c r="C19" i="10"/>
  <c r="F19" i="10" s="1"/>
  <c r="K64" i="10"/>
  <c r="C20" i="10"/>
  <c r="F20" i="10" s="1"/>
  <c r="Q32" i="10"/>
  <c r="H64" i="10"/>
  <c r="P41" i="10"/>
  <c r="Q22" i="10"/>
  <c r="C39" i="10"/>
  <c r="E38" i="10"/>
  <c r="C37" i="10"/>
  <c r="F37" i="10" s="1"/>
  <c r="R31" i="10"/>
  <c r="S31" i="10" s="1"/>
  <c r="R12" i="10"/>
  <c r="C18" i="10"/>
  <c r="F18" i="10" s="1"/>
  <c r="R18" i="10"/>
  <c r="C12" i="10"/>
  <c r="F12" i="10" s="1"/>
  <c r="C28" i="10"/>
  <c r="F28" i="10" s="1"/>
  <c r="C30" i="10"/>
  <c r="F30" i="10" s="1"/>
  <c r="E58" i="10"/>
  <c r="C9" i="10"/>
  <c r="E9" i="10" s="1"/>
  <c r="R11" i="10"/>
  <c r="P70" i="10" s="1"/>
  <c r="P32" i="10"/>
  <c r="R29" i="10"/>
  <c r="P69" i="10" s="1"/>
  <c r="C31" i="10"/>
  <c r="F31" i="10" s="1"/>
  <c r="L64" i="10"/>
  <c r="Q13" i="10"/>
  <c r="C10" i="10"/>
  <c r="F10" i="10" s="1"/>
  <c r="I64" i="10"/>
  <c r="C29" i="10"/>
  <c r="F60" i="10"/>
  <c r="R9" i="10"/>
  <c r="P68" i="10" s="1"/>
  <c r="J64" i="10"/>
  <c r="J65" i="10" s="1"/>
  <c r="N64" i="10"/>
  <c r="E21" i="10"/>
  <c r="R41" i="10"/>
  <c r="E40" i="10"/>
  <c r="E59" i="10"/>
  <c r="D64" i="10"/>
  <c r="D65" i="10" s="1"/>
  <c r="M64" i="10"/>
  <c r="M65" i="10" s="1"/>
  <c r="R22" i="10"/>
  <c r="C27" i="10"/>
  <c r="C53" i="10"/>
  <c r="C62" i="10"/>
  <c r="F62" i="10" s="1"/>
  <c r="F29" i="10"/>
  <c r="E29" i="10"/>
  <c r="E30" i="10"/>
  <c r="C8" i="10"/>
  <c r="R8" i="10"/>
  <c r="E11" i="10"/>
  <c r="R27" i="10"/>
  <c r="E48" i="10"/>
  <c r="E49" i="10"/>
  <c r="E50" i="10"/>
  <c r="E51" i="10"/>
  <c r="E52" i="10"/>
  <c r="E61" i="10"/>
  <c r="F48" i="10"/>
  <c r="F53" i="10" l="1"/>
  <c r="S53" i="10"/>
  <c r="R32" i="10"/>
  <c r="E37" i="10"/>
  <c r="E20" i="10"/>
  <c r="E28" i="10"/>
  <c r="C41" i="10"/>
  <c r="F41" i="10" s="1"/>
  <c r="F9" i="10"/>
  <c r="E19" i="10"/>
  <c r="P71" i="10"/>
  <c r="S12" i="10"/>
  <c r="L65" i="10"/>
  <c r="H65" i="10"/>
  <c r="P67" i="10"/>
  <c r="P72" i="10" s="1"/>
  <c r="E31" i="10"/>
  <c r="E62" i="10"/>
  <c r="C63" i="10"/>
  <c r="E53" i="10"/>
  <c r="E39" i="10"/>
  <c r="E41" i="10" s="1"/>
  <c r="F39" i="10"/>
  <c r="C32" i="10"/>
  <c r="F32" i="10" s="1"/>
  <c r="F27" i="10"/>
  <c r="E18" i="10"/>
  <c r="C22" i="10"/>
  <c r="E12" i="10"/>
  <c r="E10" i="10"/>
  <c r="I65" i="10"/>
  <c r="K65" i="10"/>
  <c r="E27" i="10"/>
  <c r="E32" i="10"/>
  <c r="F8" i="10"/>
  <c r="C13" i="10"/>
  <c r="E8" i="10"/>
  <c r="R13" i="10"/>
  <c r="C42" i="10" l="1"/>
  <c r="C64" i="10"/>
  <c r="C65" i="10" s="1"/>
  <c r="F22" i="10"/>
  <c r="C23" i="10"/>
  <c r="E22" i="10"/>
  <c r="F13" i="10"/>
  <c r="E13" i="10"/>
  <c r="L70" i="8" l="1"/>
  <c r="M70" i="8" s="1"/>
  <c r="L68" i="8"/>
  <c r="M68" i="8" s="1"/>
  <c r="L69" i="8"/>
  <c r="M69" i="8" s="1"/>
  <c r="L67" i="8"/>
  <c r="M67" i="8" s="1"/>
  <c r="K59" i="8" l="1"/>
  <c r="K60" i="8"/>
  <c r="K61" i="8"/>
  <c r="K58" i="8"/>
  <c r="K52" i="8"/>
  <c r="K49" i="8"/>
  <c r="K50" i="8"/>
  <c r="K51" i="8"/>
  <c r="K48" i="8"/>
  <c r="K37" i="8"/>
  <c r="W41" i="8"/>
  <c r="Y33" i="8"/>
  <c r="X30" i="8"/>
  <c r="K40" i="8"/>
  <c r="K39" i="8"/>
  <c r="K38" i="8"/>
  <c r="K21" i="8"/>
  <c r="K20" i="8"/>
  <c r="K19" i="8"/>
  <c r="K18" i="8"/>
  <c r="W9" i="8"/>
  <c r="W11" i="8"/>
  <c r="W8" i="8"/>
  <c r="P62" i="8"/>
  <c r="P57" i="8"/>
  <c r="P53" i="8"/>
  <c r="P41" i="8"/>
  <c r="P36" i="8"/>
  <c r="P32" i="8"/>
  <c r="P26" i="8"/>
  <c r="P22" i="8"/>
  <c r="P17" i="8"/>
  <c r="P13" i="8"/>
  <c r="L11" i="9"/>
  <c r="Y42" i="8" s="1"/>
  <c r="K11" i="9"/>
  <c r="G11" i="9"/>
  <c r="D23" i="10" s="1"/>
  <c r="E23" i="10" s="1"/>
  <c r="F11" i="9"/>
  <c r="D11" i="9"/>
  <c r="G13" i="9" s="1"/>
  <c r="C11" i="9"/>
  <c r="M10" i="9"/>
  <c r="N10" i="9" s="1"/>
  <c r="H10" i="9"/>
  <c r="I10" i="9" s="1"/>
  <c r="X11" i="8" s="1"/>
  <c r="M9" i="9"/>
  <c r="W29" i="8" s="1"/>
  <c r="H9" i="9"/>
  <c r="I9" i="9" s="1"/>
  <c r="X10" i="8" s="1"/>
  <c r="N8" i="9"/>
  <c r="X28" i="8" s="1"/>
  <c r="M8" i="9"/>
  <c r="W28" i="8" s="1"/>
  <c r="H8" i="9"/>
  <c r="I8" i="9" s="1"/>
  <c r="X9" i="8" s="1"/>
  <c r="N7" i="9"/>
  <c r="X27" i="8" s="1"/>
  <c r="M7" i="9"/>
  <c r="W27" i="8" s="1"/>
  <c r="H7" i="9"/>
  <c r="K11" i="8" l="1"/>
  <c r="K9" i="8"/>
  <c r="K28" i="8"/>
  <c r="N9" i="9"/>
  <c r="X29" i="8" s="1"/>
  <c r="X32" i="8" s="1"/>
  <c r="W30" i="8"/>
  <c r="K30" i="8" s="1"/>
  <c r="M11" i="9"/>
  <c r="W31" i="8" s="1"/>
  <c r="Y14" i="8"/>
  <c r="Y23" i="8"/>
  <c r="K62" i="8"/>
  <c r="R33" i="10"/>
  <c r="R42" i="10"/>
  <c r="D42" i="10"/>
  <c r="N11" i="9"/>
  <c r="X31" i="8" s="1"/>
  <c r="K31" i="8" s="1"/>
  <c r="W10" i="8"/>
  <c r="K10" i="8" s="1"/>
  <c r="L23" i="8"/>
  <c r="H11" i="9"/>
  <c r="W12" i="8" s="1"/>
  <c r="L42" i="8"/>
  <c r="P64" i="8"/>
  <c r="X41" i="8"/>
  <c r="K27" i="8"/>
  <c r="X22" i="8"/>
  <c r="I7" i="9"/>
  <c r="I11" i="9" l="1"/>
  <c r="X12" i="8" s="1"/>
  <c r="K12" i="8" s="1"/>
  <c r="X8" i="8"/>
  <c r="K8" i="8" s="1"/>
  <c r="K29" i="8"/>
  <c r="W32" i="8"/>
  <c r="T62" i="8"/>
  <c r="S62" i="8"/>
  <c r="R62" i="8"/>
  <c r="Q62" i="8"/>
  <c r="L62" i="8"/>
  <c r="E62" i="8"/>
  <c r="M61" i="8"/>
  <c r="N60" i="8"/>
  <c r="N59" i="8"/>
  <c r="S57" i="8"/>
  <c r="Q57" i="8"/>
  <c r="L57" i="8"/>
  <c r="K57" i="8"/>
  <c r="D56" i="8"/>
  <c r="T53" i="8"/>
  <c r="S53" i="8"/>
  <c r="R53" i="8"/>
  <c r="Q53" i="8"/>
  <c r="L53" i="8"/>
  <c r="M52" i="8"/>
  <c r="E52" i="8"/>
  <c r="M51" i="8"/>
  <c r="N51" i="8"/>
  <c r="E51" i="8"/>
  <c r="E50" i="8"/>
  <c r="N49" i="8"/>
  <c r="E49" i="8"/>
  <c r="E48" i="8"/>
  <c r="D46" i="8"/>
  <c r="U41" i="8"/>
  <c r="T41" i="8"/>
  <c r="S41" i="8"/>
  <c r="R41" i="8"/>
  <c r="Q41" i="8"/>
  <c r="L41" i="8"/>
  <c r="E41" i="8"/>
  <c r="F41" i="8" s="1"/>
  <c r="N39" i="8"/>
  <c r="M38" i="8"/>
  <c r="N37" i="8"/>
  <c r="M37" i="8"/>
  <c r="L36" i="8"/>
  <c r="D35" i="8"/>
  <c r="U32" i="8"/>
  <c r="T32" i="8"/>
  <c r="S32" i="8"/>
  <c r="R32" i="8"/>
  <c r="Q32" i="8"/>
  <c r="L32" i="8"/>
  <c r="N31" i="8"/>
  <c r="E31" i="8"/>
  <c r="M30" i="8"/>
  <c r="E30" i="8"/>
  <c r="Y29" i="8"/>
  <c r="E29" i="8"/>
  <c r="Y28" i="8"/>
  <c r="E28" i="8"/>
  <c r="N27" i="8"/>
  <c r="E27" i="8"/>
  <c r="X26" i="8"/>
  <c r="X36" i="8" s="1"/>
  <c r="W26" i="8"/>
  <c r="W36" i="8" s="1"/>
  <c r="L26" i="8"/>
  <c r="D25" i="8"/>
  <c r="U22" i="8"/>
  <c r="T22" i="8"/>
  <c r="S22" i="8"/>
  <c r="R22" i="8"/>
  <c r="Q22" i="8"/>
  <c r="L22" i="8"/>
  <c r="N21" i="8"/>
  <c r="N20" i="8"/>
  <c r="N19" i="8"/>
  <c r="N18" i="8"/>
  <c r="E18" i="8"/>
  <c r="E22" i="8" s="1"/>
  <c r="X17" i="8"/>
  <c r="W17" i="8"/>
  <c r="L17" i="8"/>
  <c r="K16" i="8"/>
  <c r="D16" i="8"/>
  <c r="U13" i="8"/>
  <c r="T13" i="8"/>
  <c r="S13" i="8"/>
  <c r="R13" i="8"/>
  <c r="Q13" i="8"/>
  <c r="L13" i="8"/>
  <c r="E11" i="8"/>
  <c r="E10" i="8"/>
  <c r="E9" i="8"/>
  <c r="E8" i="8"/>
  <c r="D6" i="8"/>
  <c r="A6" i="8"/>
  <c r="T1" i="8"/>
  <c r="E53" i="8" l="1"/>
  <c r="E32" i="8"/>
  <c r="S64" i="8"/>
  <c r="S65" i="8" s="1"/>
  <c r="T64" i="8"/>
  <c r="T65" i="8" s="1"/>
  <c r="U64" i="8"/>
  <c r="R64" i="8"/>
  <c r="R65" i="8" s="1"/>
  <c r="F37" i="8"/>
  <c r="Q64" i="8"/>
  <c r="P65" i="8" s="1"/>
  <c r="F39" i="8"/>
  <c r="F38" i="8"/>
  <c r="F20" i="8"/>
  <c r="F21" i="8"/>
  <c r="F19" i="8"/>
  <c r="F18" i="8"/>
  <c r="M29" i="8"/>
  <c r="N30" i="8"/>
  <c r="K53" i="8"/>
  <c r="K63" i="8" s="1"/>
  <c r="M49" i="8"/>
  <c r="N52" i="8"/>
  <c r="M58" i="8"/>
  <c r="M60" i="8"/>
  <c r="N29" i="8"/>
  <c r="Y30" i="8"/>
  <c r="M39" i="8"/>
  <c r="N48" i="8"/>
  <c r="N58" i="8"/>
  <c r="N38" i="8"/>
  <c r="N61" i="8"/>
  <c r="F29" i="8"/>
  <c r="F30" i="8"/>
  <c r="F32" i="8"/>
  <c r="E42" i="8"/>
  <c r="F31" i="8"/>
  <c r="F27" i="8"/>
  <c r="M62" i="8"/>
  <c r="N62" i="8"/>
  <c r="E63" i="8"/>
  <c r="F28" i="8"/>
  <c r="L64" i="8"/>
  <c r="L65" i="8" s="1"/>
  <c r="F22" i="8"/>
  <c r="Y27" i="8"/>
  <c r="M28" i="8"/>
  <c r="Y31" i="8"/>
  <c r="M40" i="8"/>
  <c r="M50" i="8"/>
  <c r="M59" i="8"/>
  <c r="M18" i="8"/>
  <c r="M19" i="8"/>
  <c r="M20" i="8"/>
  <c r="M21" i="8"/>
  <c r="K22" i="8"/>
  <c r="M27" i="8"/>
  <c r="N28" i="8"/>
  <c r="M31" i="8"/>
  <c r="N40" i="8"/>
  <c r="N50" i="8"/>
  <c r="K32" i="8"/>
  <c r="K41" i="8"/>
  <c r="F40" i="8"/>
  <c r="M48" i="8"/>
  <c r="Q65" i="8" l="1"/>
  <c r="M41" i="8"/>
  <c r="K42" i="8"/>
  <c r="N53" i="8"/>
  <c r="M53" i="8"/>
  <c r="Y32" i="8"/>
  <c r="Y20" i="8"/>
  <c r="Y40" i="8"/>
  <c r="N32" i="8"/>
  <c r="M32" i="8"/>
  <c r="N41" i="8"/>
  <c r="N22" i="8"/>
  <c r="M22" i="8"/>
  <c r="Y19" i="8" l="1"/>
  <c r="Y37" i="8"/>
  <c r="Y39" i="8"/>
  <c r="W22" i="8"/>
  <c r="Y21" i="8"/>
  <c r="Y38" i="8"/>
  <c r="Y41" i="8" l="1"/>
  <c r="Y18" i="8"/>
  <c r="Y22" i="8" l="1"/>
  <c r="N37" i="6" l="1"/>
  <c r="N31" i="6"/>
  <c r="M35" i="6"/>
  <c r="M25" i="6"/>
  <c r="N41" i="6"/>
  <c r="N42" i="6" s="1"/>
  <c r="N32" i="6"/>
  <c r="N33" i="6" s="1"/>
  <c r="N18" i="6"/>
  <c r="N22" i="6" s="1"/>
  <c r="N23" i="6" s="1"/>
  <c r="M15" i="6"/>
  <c r="N12" i="6" l="1"/>
  <c r="N13" i="6"/>
  <c r="N14" i="6" s="1"/>
  <c r="M11" i="6"/>
  <c r="O11" i="6" s="1"/>
  <c r="M4" i="6"/>
  <c r="L62" i="6"/>
  <c r="E62" i="6"/>
  <c r="K61" i="6"/>
  <c r="K60" i="6"/>
  <c r="K59" i="6"/>
  <c r="K58" i="6"/>
  <c r="L57" i="6"/>
  <c r="K57" i="6"/>
  <c r="D56" i="6"/>
  <c r="L53" i="6"/>
  <c r="E52" i="6"/>
  <c r="K51" i="6"/>
  <c r="E51" i="6"/>
  <c r="K50" i="6"/>
  <c r="E50" i="6"/>
  <c r="K49" i="6"/>
  <c r="E49" i="6"/>
  <c r="K48" i="6"/>
  <c r="E48" i="6"/>
  <c r="D46" i="6"/>
  <c r="Q41" i="6"/>
  <c r="L41" i="6"/>
  <c r="E41" i="6"/>
  <c r="F39" i="6" s="1"/>
  <c r="S40" i="6"/>
  <c r="K40" i="6"/>
  <c r="S39" i="6"/>
  <c r="K39" i="6"/>
  <c r="S38" i="6"/>
  <c r="P38" i="6"/>
  <c r="R38" i="6" s="1"/>
  <c r="K38" i="6"/>
  <c r="F38" i="6"/>
  <c r="S37" i="6"/>
  <c r="K37" i="6"/>
  <c r="K41" i="6" s="1"/>
  <c r="S36" i="6"/>
  <c r="P36" i="6"/>
  <c r="L36" i="6"/>
  <c r="K35" i="6"/>
  <c r="D35" i="6"/>
  <c r="Q32" i="6"/>
  <c r="L32" i="6"/>
  <c r="E31" i="6"/>
  <c r="K30" i="6"/>
  <c r="E30" i="6"/>
  <c r="K29" i="6"/>
  <c r="E29" i="6"/>
  <c r="K28" i="6"/>
  <c r="E28" i="6"/>
  <c r="K27" i="6"/>
  <c r="E27" i="6"/>
  <c r="S26" i="6"/>
  <c r="Q26" i="6"/>
  <c r="P26" i="6"/>
  <c r="L26" i="6"/>
  <c r="K25" i="6"/>
  <c r="D25" i="6"/>
  <c r="Q22" i="6"/>
  <c r="L22" i="6"/>
  <c r="S21" i="6"/>
  <c r="K21" i="6"/>
  <c r="S20" i="6"/>
  <c r="K20" i="6"/>
  <c r="S19" i="6"/>
  <c r="K19" i="6"/>
  <c r="K18" i="6"/>
  <c r="E18" i="6"/>
  <c r="E22" i="6" s="1"/>
  <c r="S17" i="6"/>
  <c r="Q17" i="6"/>
  <c r="Q36" i="6" s="1"/>
  <c r="P17" i="6"/>
  <c r="L17" i="6"/>
  <c r="K16" i="6"/>
  <c r="D16" i="6"/>
  <c r="Q13" i="6"/>
  <c r="L13" i="6"/>
  <c r="M12" i="6" s="1"/>
  <c r="O12" i="6" s="1"/>
  <c r="S11" i="6"/>
  <c r="K11" i="6"/>
  <c r="E11" i="6"/>
  <c r="K10" i="6"/>
  <c r="E10" i="6"/>
  <c r="S10" i="6" s="1"/>
  <c r="K9" i="6"/>
  <c r="E9" i="6"/>
  <c r="S9" i="6" s="1"/>
  <c r="K8" i="6"/>
  <c r="E8" i="6"/>
  <c r="K6" i="6"/>
  <c r="D6" i="6"/>
  <c r="A6" i="6"/>
  <c r="N1" i="6"/>
  <c r="M10" i="6" l="1"/>
  <c r="O10" i="6" s="1"/>
  <c r="E53" i="6"/>
  <c r="M8" i="6"/>
  <c r="L64" i="6"/>
  <c r="M19" i="6"/>
  <c r="O19" i="6" s="1"/>
  <c r="M18" i="6"/>
  <c r="M21" i="6"/>
  <c r="O21" i="6" s="1"/>
  <c r="M20" i="6"/>
  <c r="O20" i="6" s="1"/>
  <c r="L63" i="6"/>
  <c r="M49" i="6"/>
  <c r="M48" i="6"/>
  <c r="M52" i="6"/>
  <c r="M51" i="6"/>
  <c r="M50" i="6"/>
  <c r="K22" i="6"/>
  <c r="M28" i="6"/>
  <c r="O28" i="6" s="1"/>
  <c r="M29" i="6"/>
  <c r="O29" i="6" s="1"/>
  <c r="M27" i="6"/>
  <c r="M30" i="6"/>
  <c r="O30" i="6" s="1"/>
  <c r="M31" i="6"/>
  <c r="O31" i="6" s="1"/>
  <c r="M61" i="6"/>
  <c r="M60" i="6"/>
  <c r="M59" i="6"/>
  <c r="M58" i="6"/>
  <c r="S41" i="6"/>
  <c r="M37" i="6"/>
  <c r="M38" i="6"/>
  <c r="O38" i="6" s="1"/>
  <c r="M39" i="6"/>
  <c r="O39" i="6" s="1"/>
  <c r="M40" i="6"/>
  <c r="O40" i="6" s="1"/>
  <c r="M9" i="6"/>
  <c r="O9" i="6" s="1"/>
  <c r="S8" i="6"/>
  <c r="P40" i="6"/>
  <c r="R40" i="6" s="1"/>
  <c r="P27" i="6"/>
  <c r="P28" i="6"/>
  <c r="R28" i="6" s="1"/>
  <c r="P29" i="6"/>
  <c r="R29" i="6" s="1"/>
  <c r="P30" i="6"/>
  <c r="R30" i="6" s="1"/>
  <c r="P37" i="6"/>
  <c r="R37" i="6" s="1"/>
  <c r="F40" i="6"/>
  <c r="F37" i="6"/>
  <c r="K62" i="6"/>
  <c r="P41" i="6"/>
  <c r="F21" i="6"/>
  <c r="F20" i="6"/>
  <c r="F19" i="6"/>
  <c r="F18" i="6"/>
  <c r="F22" i="6"/>
  <c r="E63" i="6"/>
  <c r="R27" i="6"/>
  <c r="P18" i="6"/>
  <c r="P8" i="6"/>
  <c r="P9" i="6"/>
  <c r="R9" i="6" s="1"/>
  <c r="P10" i="6"/>
  <c r="R10" i="6" s="1"/>
  <c r="P11" i="6"/>
  <c r="R11" i="6" s="1"/>
  <c r="S18" i="6"/>
  <c r="S22" i="6" s="1"/>
  <c r="F41" i="6"/>
  <c r="P20" i="6"/>
  <c r="R20" i="6" s="1"/>
  <c r="E32" i="6"/>
  <c r="F28" i="6" s="1"/>
  <c r="S27" i="6"/>
  <c r="S28" i="6"/>
  <c r="S29" i="6"/>
  <c r="S30" i="6"/>
  <c r="S31" i="6"/>
  <c r="P39" i="6"/>
  <c r="R39" i="6" s="1"/>
  <c r="R41" i="6" s="1"/>
  <c r="P19" i="6"/>
  <c r="R19" i="6" s="1"/>
  <c r="P21" i="6"/>
  <c r="R21" i="6" s="1"/>
  <c r="L21" i="4"/>
  <c r="M21" i="4" s="1"/>
  <c r="L20" i="4"/>
  <c r="M20" i="4" s="1"/>
  <c r="L19" i="4"/>
  <c r="M19" i="4" s="1"/>
  <c r="L18" i="4"/>
  <c r="G21" i="4"/>
  <c r="H21" i="4" s="1"/>
  <c r="G20" i="4"/>
  <c r="G19" i="4"/>
  <c r="H19" i="4" s="1"/>
  <c r="G18" i="4"/>
  <c r="H18" i="4" s="1"/>
  <c r="H20" i="4"/>
  <c r="K22" i="4"/>
  <c r="J22" i="4"/>
  <c r="F22" i="4"/>
  <c r="G22" i="4" s="1"/>
  <c r="E22" i="4"/>
  <c r="C22" i="4"/>
  <c r="B22" i="4"/>
  <c r="D9" i="4"/>
  <c r="E9" i="4"/>
  <c r="F9" i="4"/>
  <c r="G9" i="4"/>
  <c r="I9" i="4"/>
  <c r="J9" i="4"/>
  <c r="K9" i="4"/>
  <c r="L9" i="4"/>
  <c r="K52" i="6" s="1"/>
  <c r="K53" i="6" s="1"/>
  <c r="K63" i="6" s="1"/>
  <c r="N9" i="4"/>
  <c r="O9" i="4"/>
  <c r="P9" i="4"/>
  <c r="Q9" i="4"/>
  <c r="K31" i="6" s="1"/>
  <c r="K32" i="6" s="1"/>
  <c r="K42" i="6" s="1"/>
  <c r="E12" i="8" l="1"/>
  <c r="K12" i="6"/>
  <c r="E12" i="6"/>
  <c r="O18" i="6"/>
  <c r="O22" i="6" s="1"/>
  <c r="O23" i="6" s="1"/>
  <c r="M22" i="6"/>
  <c r="P31" i="6"/>
  <c r="R31" i="6" s="1"/>
  <c r="N52" i="6"/>
  <c r="M41" i="6"/>
  <c r="O37" i="6"/>
  <c r="O41" i="6" s="1"/>
  <c r="O42" i="6" s="1"/>
  <c r="M53" i="6"/>
  <c r="O27" i="6"/>
  <c r="M32" i="6"/>
  <c r="O8" i="6"/>
  <c r="O13" i="6" s="1"/>
  <c r="O14" i="6" s="1"/>
  <c r="M13" i="6"/>
  <c r="L22" i="4"/>
  <c r="M62" i="6"/>
  <c r="O32" i="6"/>
  <c r="O33" i="6" s="1"/>
  <c r="F30" i="6"/>
  <c r="S32" i="6"/>
  <c r="F32" i="6"/>
  <c r="E42" i="6"/>
  <c r="P42" i="6" s="1"/>
  <c r="R8" i="6"/>
  <c r="F29" i="6"/>
  <c r="F31" i="6"/>
  <c r="F27" i="6"/>
  <c r="R18" i="6"/>
  <c r="R22" i="6" s="1"/>
  <c r="P22" i="6"/>
  <c r="H22" i="4"/>
  <c r="M18" i="4"/>
  <c r="M22" i="4" s="1"/>
  <c r="P32" i="6" l="1"/>
  <c r="R32" i="6" s="1"/>
  <c r="S12" i="6"/>
  <c r="S13" i="6" s="1"/>
  <c r="E13" i="6"/>
  <c r="M64" i="6"/>
  <c r="K13" i="6"/>
  <c r="P12" i="6"/>
  <c r="E13" i="8"/>
  <c r="Q19" i="5"/>
  <c r="P19" i="5"/>
  <c r="O19" i="5"/>
  <c r="N19" i="5"/>
  <c r="L19" i="5"/>
  <c r="K19" i="5"/>
  <c r="J19" i="5"/>
  <c r="I19" i="5"/>
  <c r="G19" i="5"/>
  <c r="F19" i="5"/>
  <c r="E19" i="5"/>
  <c r="D19" i="5"/>
  <c r="Q9" i="5"/>
  <c r="P9" i="5"/>
  <c r="O9" i="5"/>
  <c r="N9" i="5"/>
  <c r="L9" i="5"/>
  <c r="K9" i="5"/>
  <c r="J9" i="5"/>
  <c r="I9" i="5"/>
  <c r="G9" i="5"/>
  <c r="F9" i="5"/>
  <c r="E9" i="5"/>
  <c r="D9" i="5"/>
  <c r="F13" i="8" l="1"/>
  <c r="F9" i="8"/>
  <c r="E23" i="8"/>
  <c r="F8" i="8"/>
  <c r="F11" i="8"/>
  <c r="F10" i="8"/>
  <c r="K23" i="6"/>
  <c r="P23" i="6" s="1"/>
  <c r="K64" i="6"/>
  <c r="F13" i="6"/>
  <c r="E23" i="6"/>
  <c r="F8" i="6"/>
  <c r="F9" i="6"/>
  <c r="F11" i="6"/>
  <c r="F10" i="6"/>
  <c r="F12" i="6"/>
  <c r="R12" i="6"/>
  <c r="P13" i="6"/>
  <c r="R13" i="6" s="1"/>
  <c r="F12" i="8"/>
  <c r="K61" i="3"/>
  <c r="K60" i="3"/>
  <c r="K59" i="3"/>
  <c r="K58" i="3"/>
  <c r="K62" i="3" s="1"/>
  <c r="K52" i="3"/>
  <c r="Y52" i="3" s="1"/>
  <c r="K51" i="3"/>
  <c r="K50" i="3"/>
  <c r="K49" i="3"/>
  <c r="K48" i="3"/>
  <c r="K40" i="3"/>
  <c r="K39" i="3"/>
  <c r="K38" i="3"/>
  <c r="K37" i="3"/>
  <c r="K35" i="3"/>
  <c r="K31" i="3"/>
  <c r="W31" i="3" s="1"/>
  <c r="X31" i="3" s="1"/>
  <c r="K30" i="3"/>
  <c r="W30" i="3" s="1"/>
  <c r="X30" i="3" s="1"/>
  <c r="K29" i="3"/>
  <c r="W29" i="3" s="1"/>
  <c r="X29" i="3" s="1"/>
  <c r="K28" i="3"/>
  <c r="W28" i="3" s="1"/>
  <c r="X28" i="3" s="1"/>
  <c r="K27" i="3"/>
  <c r="W27" i="3" s="1"/>
  <c r="X27" i="3" s="1"/>
  <c r="X32" i="3" s="1"/>
  <c r="K25" i="3"/>
  <c r="K21" i="3"/>
  <c r="K20" i="3"/>
  <c r="K19" i="3"/>
  <c r="K18" i="3"/>
  <c r="K16" i="3"/>
  <c r="K6" i="3"/>
  <c r="K12" i="3"/>
  <c r="W12" i="3" s="1"/>
  <c r="X12" i="3" s="1"/>
  <c r="K11" i="3"/>
  <c r="K10" i="3"/>
  <c r="K9" i="3"/>
  <c r="K8" i="3"/>
  <c r="E18" i="3"/>
  <c r="E12" i="3"/>
  <c r="E11" i="3"/>
  <c r="E10" i="3"/>
  <c r="E9" i="3"/>
  <c r="E8" i="3"/>
  <c r="W33" i="3" l="1"/>
  <c r="W32" i="3"/>
  <c r="L36" i="3"/>
  <c r="L26" i="3"/>
  <c r="L17" i="3"/>
  <c r="L13" i="3"/>
  <c r="L22" i="3"/>
  <c r="L32" i="3"/>
  <c r="L41" i="3"/>
  <c r="L53" i="3"/>
  <c r="L57" i="3"/>
  <c r="L62" i="3"/>
  <c r="L63" i="3" l="1"/>
  <c r="L64" i="3"/>
  <c r="E52" i="3" l="1"/>
  <c r="E31" i="3"/>
  <c r="K53" i="3" l="1"/>
  <c r="N58" i="3"/>
  <c r="K57" i="3"/>
  <c r="E51" i="3"/>
  <c r="E50" i="3"/>
  <c r="E49" i="3"/>
  <c r="E48" i="3"/>
  <c r="E30" i="3"/>
  <c r="E29" i="3"/>
  <c r="E28" i="3"/>
  <c r="E27" i="3"/>
  <c r="P62" i="3"/>
  <c r="P57" i="3"/>
  <c r="P53" i="3"/>
  <c r="M58" i="3" l="1"/>
  <c r="K63" i="3"/>
  <c r="P63" i="3"/>
  <c r="V36" i="3" l="1"/>
  <c r="W26" i="3"/>
  <c r="V26" i="3"/>
  <c r="W17" i="3"/>
  <c r="W36" i="3" s="1"/>
  <c r="V17" i="3"/>
  <c r="Q62" i="3"/>
  <c r="Q53" i="3"/>
  <c r="Q63" i="3" s="1"/>
  <c r="Q32" i="3"/>
  <c r="Q22" i="3"/>
  <c r="Q13" i="3"/>
  <c r="Q41" i="3"/>
  <c r="Q23" i="3" l="1"/>
  <c r="Q64" i="3"/>
  <c r="Q42" i="3"/>
  <c r="P41" i="3" l="1"/>
  <c r="P32" i="3"/>
  <c r="P22" i="3"/>
  <c r="P13" i="3"/>
  <c r="P64" i="3" l="1"/>
  <c r="L65" i="3" l="1"/>
  <c r="P65" i="3"/>
  <c r="E13" i="3" l="1"/>
  <c r="R62" i="3"/>
  <c r="R57" i="3"/>
  <c r="R53" i="3"/>
  <c r="R41" i="3"/>
  <c r="R32" i="3"/>
  <c r="R22" i="3"/>
  <c r="R13" i="3"/>
  <c r="S1" i="3"/>
  <c r="R64" i="3" l="1"/>
  <c r="Q65" i="3" s="1"/>
  <c r="S62" i="3" l="1"/>
  <c r="S53" i="3"/>
  <c r="S41" i="3"/>
  <c r="S32" i="3"/>
  <c r="S22" i="3"/>
  <c r="S13" i="3"/>
  <c r="S64" i="3" l="1"/>
  <c r="D56" i="3"/>
  <c r="D46" i="3"/>
  <c r="T41" i="3"/>
  <c r="T32" i="3"/>
  <c r="T22" i="3"/>
  <c r="T13" i="3"/>
  <c r="D6" i="3"/>
  <c r="D35" i="3"/>
  <c r="D25" i="3"/>
  <c r="D16" i="3"/>
  <c r="A6" i="3"/>
  <c r="R65" i="3" l="1"/>
  <c r="M49" i="3"/>
  <c r="N50" i="3"/>
  <c r="N51" i="3"/>
  <c r="T64" i="3"/>
  <c r="S65" i="3" s="1"/>
  <c r="F13" i="3"/>
  <c r="E32" i="3"/>
  <c r="F32" i="3" s="1"/>
  <c r="E41" i="3"/>
  <c r="M48" i="3"/>
  <c r="E62" i="3"/>
  <c r="E22" i="3"/>
  <c r="N49" i="3"/>
  <c r="M51" i="3"/>
  <c r="N59" i="3"/>
  <c r="M59" i="3"/>
  <c r="N60" i="3"/>
  <c r="M60" i="3"/>
  <c r="N61" i="3"/>
  <c r="M61" i="3"/>
  <c r="F22" i="3" l="1"/>
  <c r="E23" i="3"/>
  <c r="F41" i="3"/>
  <c r="E42" i="3"/>
  <c r="M50" i="3"/>
  <c r="N52" i="3"/>
  <c r="F39" i="3"/>
  <c r="M39" i="3" s="1"/>
  <c r="F37" i="3"/>
  <c r="E53" i="3"/>
  <c r="E63" i="3" s="1"/>
  <c r="F38" i="3"/>
  <c r="M38" i="3" s="1"/>
  <c r="F40" i="3"/>
  <c r="F11" i="3"/>
  <c r="F10" i="3"/>
  <c r="F31" i="3"/>
  <c r="M31" i="3" s="1"/>
  <c r="F9" i="3"/>
  <c r="N62" i="3"/>
  <c r="F8" i="3"/>
  <c r="F29" i="3"/>
  <c r="N29" i="3" s="1"/>
  <c r="F28" i="3"/>
  <c r="F30" i="3"/>
  <c r="F20" i="3"/>
  <c r="N48" i="3"/>
  <c r="F21" i="3"/>
  <c r="F18" i="3"/>
  <c r="F19" i="3"/>
  <c r="F12" i="3"/>
  <c r="F27" i="3"/>
  <c r="O18" i="3" l="1"/>
  <c r="V11" i="3"/>
  <c r="O21" i="3"/>
  <c r="V9" i="3"/>
  <c r="O19" i="3"/>
  <c r="V10" i="3"/>
  <c r="O20" i="3"/>
  <c r="N37" i="3"/>
  <c r="M52" i="3"/>
  <c r="M37" i="3"/>
  <c r="M11" i="3"/>
  <c r="N39" i="3"/>
  <c r="N40" i="3"/>
  <c r="N27" i="3"/>
  <c r="N11" i="3"/>
  <c r="N30" i="3"/>
  <c r="N8" i="3"/>
  <c r="V8" i="3"/>
  <c r="K41" i="3"/>
  <c r="N38" i="3"/>
  <c r="M62" i="3"/>
  <c r="M8" i="3"/>
  <c r="M10" i="3"/>
  <c r="N9" i="3"/>
  <c r="M40" i="3"/>
  <c r="M30" i="3"/>
  <c r="M29" i="3"/>
  <c r="N31" i="3"/>
  <c r="N19" i="3"/>
  <c r="N21" i="3"/>
  <c r="N10" i="3"/>
  <c r="M9" i="3"/>
  <c r="M28" i="3"/>
  <c r="N28" i="3"/>
  <c r="K32" i="3"/>
  <c r="M20" i="3"/>
  <c r="N20" i="3"/>
  <c r="M12" i="3"/>
  <c r="N18" i="3"/>
  <c r="K22" i="3"/>
  <c r="M27" i="3"/>
  <c r="M21" i="3"/>
  <c r="M18" i="3"/>
  <c r="M19" i="3"/>
  <c r="M53" i="3"/>
  <c r="W8" i="3" l="1"/>
  <c r="X8" i="3" s="1"/>
  <c r="Y48" i="3" s="1"/>
  <c r="W9" i="3"/>
  <c r="X9" i="3" s="1"/>
  <c r="Y49" i="3" s="1"/>
  <c r="V38" i="3"/>
  <c r="V39" i="3"/>
  <c r="V40" i="3"/>
  <c r="V37" i="3"/>
  <c r="W10" i="3"/>
  <c r="X10" i="3" s="1"/>
  <c r="Y50" i="3" s="1"/>
  <c r="W11" i="3"/>
  <c r="W14" i="3" s="1"/>
  <c r="V18" i="3"/>
  <c r="V19" i="3"/>
  <c r="V20" i="3"/>
  <c r="V21" i="3"/>
  <c r="N12" i="3"/>
  <c r="K13" i="3"/>
  <c r="M41" i="3"/>
  <c r="N53" i="3"/>
  <c r="N41" i="3"/>
  <c r="V32" i="3"/>
  <c r="V13" i="3"/>
  <c r="K42" i="3"/>
  <c r="V42" i="3" s="1"/>
  <c r="M32" i="3"/>
  <c r="N32" i="3"/>
  <c r="N22" i="3"/>
  <c r="M22" i="3"/>
  <c r="W37" i="3" l="1"/>
  <c r="X37" i="3" s="1"/>
  <c r="X41" i="3" s="1"/>
  <c r="W40" i="3"/>
  <c r="X40" i="3"/>
  <c r="W39" i="3"/>
  <c r="X39" i="3"/>
  <c r="W38" i="3"/>
  <c r="W41" i="3" s="1"/>
  <c r="X38" i="3"/>
  <c r="X11" i="3"/>
  <c r="W20" i="3"/>
  <c r="X20" i="3" s="1"/>
  <c r="W19" i="3"/>
  <c r="X19" i="3" s="1"/>
  <c r="W21" i="3"/>
  <c r="X21" i="3" s="1"/>
  <c r="W18" i="3"/>
  <c r="X18" i="3" s="1"/>
  <c r="X22" i="3" s="1"/>
  <c r="V41" i="3"/>
  <c r="W13" i="3"/>
  <c r="V22" i="3"/>
  <c r="M13" i="3"/>
  <c r="K64" i="3"/>
  <c r="K65" i="3" s="1"/>
  <c r="K23" i="3"/>
  <c r="V23" i="3" s="1"/>
  <c r="N13" i="3"/>
  <c r="X13" i="3" l="1"/>
  <c r="Y53" i="3" s="1"/>
  <c r="Y51" i="3"/>
  <c r="W22" i="3"/>
  <c r="X13" i="8" l="1"/>
  <c r="W13" i="8"/>
  <c r="Y10" i="8"/>
  <c r="W69" i="8" s="1"/>
  <c r="M10" i="8"/>
  <c r="Y9" i="8"/>
  <c r="W68" i="8" s="1"/>
  <c r="Y8" i="8"/>
  <c r="W67" i="8" s="1"/>
  <c r="Y11" i="8"/>
  <c r="W70" i="8" s="1"/>
  <c r="M12" i="8"/>
  <c r="Y12" i="8"/>
  <c r="W71" i="8" s="1"/>
  <c r="N8" i="8"/>
  <c r="W72" i="8" l="1"/>
  <c r="Y13" i="8"/>
  <c r="M8" i="8"/>
  <c r="M9" i="8"/>
  <c r="N11" i="8"/>
  <c r="N12" i="8"/>
  <c r="N9" i="8"/>
  <c r="K13" i="8"/>
  <c r="M11" i="8"/>
  <c r="N10" i="8"/>
  <c r="K64" i="8" l="1"/>
  <c r="K65" i="8" s="1"/>
  <c r="K23" i="8"/>
  <c r="M23" i="8" s="1"/>
  <c r="N13" i="8"/>
  <c r="M13" i="8"/>
</calcChain>
</file>

<file path=xl/sharedStrings.xml><?xml version="1.0" encoding="utf-8"?>
<sst xmlns="http://schemas.openxmlformats.org/spreadsheetml/2006/main" count="1266" uniqueCount="187">
  <si>
    <t>Service Location</t>
  </si>
  <si>
    <t>Service Location Name</t>
  </si>
  <si>
    <t>County</t>
  </si>
  <si>
    <t>County Name</t>
  </si>
  <si>
    <t>Budget Amount</t>
  </si>
  <si>
    <t>LAW15</t>
  </si>
  <si>
    <t>Ohio Valley Employment</t>
  </si>
  <si>
    <t>Monroe</t>
  </si>
  <si>
    <t>Morgan</t>
  </si>
  <si>
    <t>Noble</t>
  </si>
  <si>
    <t>Washington</t>
  </si>
  <si>
    <t>OVER</t>
  </si>
  <si>
    <t>Budget Amount w/OVER</t>
  </si>
  <si>
    <t>ESTIMATED</t>
  </si>
  <si>
    <t>Adult and DW are both PY and FY with the FY only estimated at this point.</t>
  </si>
  <si>
    <t xml:space="preserve">Adult Adm </t>
  </si>
  <si>
    <t xml:space="preserve">Adult </t>
  </si>
  <si>
    <t xml:space="preserve">DW Adm </t>
  </si>
  <si>
    <t xml:space="preserve">DW </t>
  </si>
  <si>
    <t>Total(above) from State    by % to left</t>
  </si>
  <si>
    <t>PY14 Final</t>
  </si>
  <si>
    <t>PY12redist</t>
  </si>
  <si>
    <t>State Budget % of County to Total</t>
  </si>
  <si>
    <t>% Change</t>
  </si>
  <si>
    <t xml:space="preserve">$ Change </t>
  </si>
  <si>
    <t>Change</t>
  </si>
  <si>
    <t>total</t>
  </si>
  <si>
    <t xml:space="preserve">Youth Adm </t>
  </si>
  <si>
    <t>Youth Program</t>
  </si>
  <si>
    <t>Youth is only a PY allocation, no need to estimate for FY numbers not yet received.</t>
  </si>
  <si>
    <t>PY15 Final</t>
  </si>
  <si>
    <t>PY14 &amp; FY15 Actual</t>
  </si>
  <si>
    <t>% to prev. yr</t>
  </si>
  <si>
    <t>PY13 Final</t>
  </si>
  <si>
    <t>PY13 &amp; FY14 Actual</t>
  </si>
  <si>
    <t>PY12 &amp; FY13 Actual</t>
  </si>
  <si>
    <t>PY16 Final</t>
  </si>
  <si>
    <t>PY15 &amp; FY16 Actual</t>
  </si>
  <si>
    <t>PY16 &amp; FY17 Actual</t>
  </si>
  <si>
    <t>WIOA Area 15</t>
  </si>
  <si>
    <t>PY17 &amp; FY18 Actual</t>
  </si>
  <si>
    <t>FY18 Estimated</t>
  </si>
  <si>
    <t>FY18 Actual</t>
  </si>
  <si>
    <t>PY17 Final</t>
  </si>
  <si>
    <t>&lt;same&gt;</t>
  </si>
  <si>
    <t>Youth is PY only</t>
  </si>
  <si>
    <t>PY18 Final</t>
  </si>
  <si>
    <t>Estimated PY18&amp;FY19(7/1/18-6/30/20) to Previous Years</t>
  </si>
  <si>
    <t xml:space="preserve"> Estimated from State Against State Allocated last year based on PY% split for counties</t>
  </si>
  <si>
    <t>PY18</t>
  </si>
  <si>
    <t>PY18 &amp; FY19 estimate from State</t>
  </si>
  <si>
    <t>LAW16</t>
  </si>
  <si>
    <t>Jefferson</t>
  </si>
  <si>
    <t>Harrison</t>
  </si>
  <si>
    <t>Carroll</t>
  </si>
  <si>
    <t>Belmont</t>
  </si>
  <si>
    <t>Final Allocation</t>
  </si>
  <si>
    <t>Hold Harmless Adjustment</t>
  </si>
  <si>
    <t>Percent of Area Total</t>
  </si>
  <si>
    <t>Initial Allocation</t>
  </si>
  <si>
    <t>Area</t>
  </si>
  <si>
    <t>#</t>
  </si>
  <si>
    <t>Dislocated Worker</t>
  </si>
  <si>
    <t>Youth</t>
  </si>
  <si>
    <t>Adult</t>
  </si>
  <si>
    <t>Preliminary SFY19 Allocations by Area</t>
  </si>
  <si>
    <t>WIAO Area #16</t>
  </si>
  <si>
    <t>WIAO Area #15</t>
  </si>
  <si>
    <t>Adult Admin</t>
  </si>
  <si>
    <t>DW Admin</t>
  </si>
  <si>
    <t>Youth Admin</t>
  </si>
  <si>
    <t xml:space="preserve">Youth </t>
  </si>
  <si>
    <t xml:space="preserve"> </t>
  </si>
  <si>
    <t>Area Total</t>
  </si>
  <si>
    <t>Updated:  Sara Ballard 6/5 email</t>
  </si>
  <si>
    <t>Final SFY19 WIOA Allocations by Area</t>
  </si>
  <si>
    <t>Dis Wkr</t>
  </si>
  <si>
    <t>Percent of Area</t>
  </si>
  <si>
    <t>Amount</t>
  </si>
  <si>
    <t>SFY19 Total</t>
  </si>
  <si>
    <t>FY19</t>
  </si>
  <si>
    <t>PY17 &amp; FY18 Orignal</t>
  </si>
  <si>
    <t>Allocated based on Original</t>
  </si>
  <si>
    <t>PY17</t>
  </si>
  <si>
    <t>FY18</t>
  </si>
  <si>
    <t xml:space="preserve">Additional 7/1/17 to 6/30/18 given in CFIS May 2018                                                                          </t>
  </si>
  <si>
    <t>over share</t>
  </si>
  <si>
    <t>Total</t>
  </si>
  <si>
    <t>PY18 &amp; FY19 Final from State</t>
  </si>
  <si>
    <t>FY19 Actual</t>
  </si>
  <si>
    <t>WIOA Area #15</t>
  </si>
  <si>
    <t>Final SFY20 Allocations by Area</t>
  </si>
  <si>
    <t>PY19</t>
  </si>
  <si>
    <t>Percent</t>
  </si>
  <si>
    <t>SFY20 Total</t>
  </si>
  <si>
    <t>FY20</t>
  </si>
  <si>
    <t>Scott France email 5/29/19</t>
  </si>
  <si>
    <t>PY19 &amp; FY20 Final from State</t>
  </si>
  <si>
    <t>FY20 Actual</t>
  </si>
  <si>
    <t>PY18 &amp; FY19 Actual</t>
  </si>
  <si>
    <t>PY19 Final</t>
  </si>
  <si>
    <t>Total to Prior Year</t>
  </si>
  <si>
    <t>Total by PY (July 1) &amp; FY (Oct 1)</t>
  </si>
  <si>
    <t>Prior 2 Years</t>
  </si>
  <si>
    <t>*made miscalc in disb PY19, corrected diff in FY20</t>
  </si>
  <si>
    <t>Total correct.</t>
  </si>
  <si>
    <t>Total program</t>
  </si>
  <si>
    <t>Less MOU for Att A MOU</t>
  </si>
  <si>
    <t>admin</t>
  </si>
  <si>
    <t>WIOA Area 15 - Allocation</t>
  </si>
  <si>
    <t>PY19 &amp; FY20 Actual</t>
  </si>
  <si>
    <t xml:space="preserve">PY19 </t>
  </si>
  <si>
    <t>PY20</t>
  </si>
  <si>
    <t>FY21</t>
  </si>
  <si>
    <t>Final SFY21 Allocations by Area</t>
  </si>
  <si>
    <t>Updated 5/11/2020</t>
  </si>
  <si>
    <t>WIOA</t>
  </si>
  <si>
    <t>Area 14</t>
  </si>
  <si>
    <t>Y %</t>
  </si>
  <si>
    <t>PY20-Y</t>
  </si>
  <si>
    <t>A %</t>
  </si>
  <si>
    <t>SFY21-A</t>
  </si>
  <si>
    <t>PY20-A</t>
  </si>
  <si>
    <t>FY21-A</t>
  </si>
  <si>
    <t>DW %</t>
  </si>
  <si>
    <t>PY20-DW</t>
  </si>
  <si>
    <t>FY21-DW</t>
  </si>
  <si>
    <t>SFY21-DW</t>
  </si>
  <si>
    <t>Athens</t>
  </si>
  <si>
    <t>Meigs</t>
  </si>
  <si>
    <t>Perry</t>
  </si>
  <si>
    <t>Area 15</t>
  </si>
  <si>
    <t>Area 16</t>
  </si>
  <si>
    <t>PY20 &amp; FY21 Actual</t>
  </si>
  <si>
    <t>PY 20</t>
  </si>
  <si>
    <t xml:space="preserve">PY18 </t>
  </si>
  <si>
    <t xml:space="preserve">PY15 </t>
  </si>
  <si>
    <t>PY14</t>
  </si>
  <si>
    <t>PY13</t>
  </si>
  <si>
    <t>PY20 &amp; FY 21 Final from State July 1, 2020-June 30, 2022</t>
  </si>
  <si>
    <t>PY21 &amp; FY 22 = July 1, 2021-June 30, 2022</t>
  </si>
  <si>
    <t xml:space="preserve">     WIOA Area 15 - Allocation</t>
  </si>
  <si>
    <t>PY21</t>
  </si>
  <si>
    <t>FY22</t>
  </si>
  <si>
    <t>PY21 &amp; FY22 Actual</t>
  </si>
  <si>
    <t>PY 21</t>
  </si>
  <si>
    <t>Local Area Breakdown 15</t>
  </si>
  <si>
    <t>Local Area</t>
  </si>
  <si>
    <t>County No.</t>
  </si>
  <si>
    <t>Dislocated</t>
  </si>
  <si>
    <t>.</t>
  </si>
  <si>
    <t>Adult2</t>
  </si>
  <si>
    <t>Adult3</t>
  </si>
  <si>
    <t>,</t>
  </si>
  <si>
    <t>Dis Wkr5</t>
  </si>
  <si>
    <t>Wash</t>
  </si>
  <si>
    <t>&lt;counties</t>
  </si>
  <si>
    <t>&lt;all currently in FA</t>
  </si>
  <si>
    <t>&lt;total county</t>
  </si>
  <si>
    <t>PY22 &amp; FY 23 = July 1, 2022-June 30, 2023</t>
  </si>
  <si>
    <t>Prior 3 Years</t>
  </si>
  <si>
    <t>PY22</t>
  </si>
  <si>
    <t>FY23</t>
  </si>
  <si>
    <t>PY22 &amp; FY23 Actual</t>
  </si>
  <si>
    <t>PY 22</t>
  </si>
  <si>
    <t>PRELIMINARY SFY23 Budgets</t>
  </si>
  <si>
    <t>Based on TEN 20-21</t>
  </si>
  <si>
    <t>CCMEP Youth</t>
  </si>
  <si>
    <t>Area 15 Total</t>
  </si>
  <si>
    <t>These are preliminary amounts only and do not include the PY/FY splits when final amounts are distributed by DOL for SFY 2023.</t>
  </si>
  <si>
    <t xml:space="preserve">OWD issues all of the WIOA formulary  funding to the WIOA Area Fiscal Agent.  The Fiscal Agent has the discretion to distribute funding as they deem appropriate. </t>
  </si>
  <si>
    <t>These amounts are based on county statistics and the Hold Harmless provision that was applied to the entire Area.  This is for informational purposes only.</t>
  </si>
  <si>
    <t>Adult prog</t>
  </si>
  <si>
    <t>Adult admin</t>
  </si>
  <si>
    <t>DW prog</t>
  </si>
  <si>
    <t>DW admin</t>
  </si>
  <si>
    <t>Y prog</t>
  </si>
  <si>
    <t>Y admin</t>
  </si>
  <si>
    <t>5/13/22 change (colored table)</t>
  </si>
  <si>
    <t xml:space="preserve">5/13/22 changed </t>
  </si>
  <si>
    <t>py22</t>
  </si>
  <si>
    <t>fy23</t>
  </si>
  <si>
    <t>adult</t>
  </si>
  <si>
    <t>dw</t>
  </si>
  <si>
    <t>youth</t>
  </si>
  <si>
    <t>% to total from original distribution to apply to the 5/13/22 allocation</t>
  </si>
  <si>
    <t>decrease for audit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</si>
</sst>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m/d/yy;@"/>
    <numFmt numFmtId="165" formatCode="0.0%"/>
    <numFmt numFmtId="166" formatCode="_(&quot;$&quot;* #,##0_);_(&quot;$&quot;* \(#,##0\);_(&quot;$&quot;* &quot;-&quot;??_);_(@_)"/>
    <numFmt numFmtId="167" formatCode="#,##0.000000000"/>
    <numFmt numFmtId="168" formatCode="0.000000%"/>
    <numFmt numFmtId="169" formatCode="_(* #,##0_);_(* \(#,##0\);_(* &quot;-&quot;??_);_(@_)"/>
  </numFmts>
  <fonts count="24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8"/>
      <name val="Arial"/>
      <family val="2"/>
    </font>
    <font>
      <sz val="12"/>
      <color theme="1"/>
      <name val="Times New Roman"/>
      <family val="1"/>
    </font>
    <font>
      <sz val="12"/>
      <color theme="1"/>
      <name val="Arial Narrow"/>
      <family val="2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8" tint="-0.249977111117893"/>
        <bgColor theme="8" tint="-0.249977111117893"/>
      </patternFill>
    </fill>
  </fills>
  <borders count="3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theme="8" tint="0.79998168889431442"/>
      </bottom>
      <diagonal/>
    </border>
    <border>
      <left/>
      <right/>
      <top/>
      <bottom style="thin">
        <color theme="8" tint="0.59999389629810485"/>
      </bottom>
      <diagonal/>
    </border>
    <border>
      <left/>
      <right/>
      <top style="thin">
        <color theme="8" tint="-0.249977111117893"/>
      </top>
      <bottom style="thin">
        <color theme="8" tint="-0.249977111117893"/>
      </bottom>
      <diagonal/>
    </border>
    <border>
      <left style="thin">
        <color theme="8" tint="-0.249977111117893"/>
      </left>
      <right style="thin">
        <color theme="8" tint="-0.249977111117893"/>
      </right>
      <top style="thin">
        <color theme="8" tint="-0.249977111117893"/>
      </top>
      <bottom style="thin">
        <color theme="8" tint="-0.249977111117893"/>
      </bottom>
      <diagonal/>
    </border>
    <border>
      <left/>
      <right/>
      <top style="thin">
        <color theme="8" tint="0.79998168889431442"/>
      </top>
      <bottom style="thin">
        <color theme="8" tint="0.79998168889431442"/>
      </bottom>
      <diagonal/>
    </border>
    <border>
      <left style="thin">
        <color theme="8" tint="-0.249977111117893"/>
      </left>
      <right style="thin">
        <color theme="8" tint="-0.249977111117893"/>
      </right>
      <top style="thin">
        <color theme="8" tint="0.79998168889431442"/>
      </top>
      <bottom style="thin">
        <color theme="8" tint="0.79998168889431442"/>
      </bottom>
      <diagonal/>
    </border>
    <border>
      <left/>
      <right/>
      <top style="double">
        <color theme="8" tint="-0.249977111117893"/>
      </top>
      <bottom/>
      <diagonal/>
    </border>
    <border>
      <left style="thin">
        <color theme="8" tint="-0.249977111117893"/>
      </left>
      <right style="thin">
        <color theme="8" tint="-0.249977111117893"/>
      </right>
      <top style="double">
        <color theme="8" tint="-0.249977111117893"/>
      </top>
      <bottom/>
      <diagonal/>
    </border>
    <border>
      <left/>
      <right/>
      <top style="double">
        <color theme="8" tint="-0.249977111117893"/>
      </top>
      <bottom style="thin">
        <color theme="8" tint="-0.249977111117893"/>
      </bottom>
      <diagonal/>
    </border>
    <border>
      <left style="thin">
        <color theme="8" tint="-0.249977111117893"/>
      </left>
      <right style="thin">
        <color theme="8" tint="-0.249977111117893"/>
      </right>
      <top style="double">
        <color theme="8" tint="-0.249977111117893"/>
      </top>
      <bottom style="thin">
        <color theme="8" tint="-0.249977111117893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4">
    <xf numFmtId="0" fontId="0" fillId="0" borderId="0"/>
    <xf numFmtId="9" fontId="1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4" fillId="0" borderId="0"/>
    <xf numFmtId="44" fontId="15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87">
    <xf numFmtId="0" fontId="0" fillId="0" borderId="0" xfId="0"/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4" fontId="5" fillId="0" borderId="1" xfId="0" applyNumberFormat="1" applyFont="1" applyBorder="1" applyAlignment="1">
      <alignment horizontal="center" vertical="center" wrapText="1"/>
    </xf>
    <xf numFmtId="4" fontId="0" fillId="0" borderId="1" xfId="0" applyNumberFormat="1" applyBorder="1" applyAlignment="1">
      <alignment wrapText="1"/>
    </xf>
    <xf numFmtId="4" fontId="0" fillId="0" borderId="0" xfId="0" applyNumberFormat="1"/>
    <xf numFmtId="0" fontId="7" fillId="0" borderId="0" xfId="0" applyFont="1"/>
    <xf numFmtId="38" fontId="0" fillId="0" borderId="1" xfId="0" applyNumberFormat="1" applyBorder="1"/>
    <xf numFmtId="9" fontId="0" fillId="0" borderId="1" xfId="0" applyNumberFormat="1" applyBorder="1"/>
    <xf numFmtId="4" fontId="0" fillId="0" borderId="5" xfId="0" applyNumberFormat="1" applyBorder="1"/>
    <xf numFmtId="38" fontId="0" fillId="0" borderId="2" xfId="0" applyNumberFormat="1" applyBorder="1"/>
    <xf numFmtId="4" fontId="0" fillId="0" borderId="6" xfId="0" applyNumberFormat="1" applyBorder="1" applyAlignment="1">
      <alignment wrapText="1"/>
    </xf>
    <xf numFmtId="38" fontId="0" fillId="0" borderId="0" xfId="0" applyNumberFormat="1"/>
    <xf numFmtId="9" fontId="0" fillId="0" borderId="0" xfId="0" applyNumberFormat="1"/>
    <xf numFmtId="0" fontId="8" fillId="0" borderId="0" xfId="0" applyFont="1"/>
    <xf numFmtId="4" fontId="0" fillId="0" borderId="7" xfId="0" applyNumberFormat="1" applyBorder="1"/>
    <xf numFmtId="10" fontId="0" fillId="0" borderId="1" xfId="0" applyNumberFormat="1" applyBorder="1" applyAlignment="1">
      <alignment wrapText="1"/>
    </xf>
    <xf numFmtId="0" fontId="5" fillId="0" borderId="9" xfId="0" applyFont="1" applyBorder="1" applyAlignment="1">
      <alignment horizontal="center" vertical="center" wrapText="1"/>
    </xf>
    <xf numFmtId="164" fontId="7" fillId="0" borderId="0" xfId="0" applyNumberFormat="1" applyFont="1"/>
    <xf numFmtId="0" fontId="7" fillId="0" borderId="5" xfId="0" applyFont="1" applyBorder="1"/>
    <xf numFmtId="0" fontId="10" fillId="0" borderId="0" xfId="0" applyFont="1" applyAlignment="1">
      <alignment wrapText="1"/>
    </xf>
    <xf numFmtId="0" fontId="9" fillId="0" borderId="0" xfId="0" applyFont="1"/>
    <xf numFmtId="0" fontId="10" fillId="0" borderId="0" xfId="0" applyFont="1"/>
    <xf numFmtId="0" fontId="9" fillId="0" borderId="3" xfId="0" applyFont="1" applyBorder="1" applyAlignment="1">
      <alignment horizontal="center" vertical="center" wrapText="1"/>
    </xf>
    <xf numFmtId="38" fontId="0" fillId="0" borderId="12" xfId="0" applyNumberFormat="1" applyBorder="1"/>
    <xf numFmtId="38" fontId="0" fillId="0" borderId="13" xfId="0" applyNumberFormat="1" applyBorder="1"/>
    <xf numFmtId="4" fontId="9" fillId="0" borderId="1" xfId="0" applyNumberFormat="1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3" fontId="0" fillId="0" borderId="11" xfId="0" applyNumberFormat="1" applyBorder="1" applyAlignment="1">
      <alignment wrapText="1"/>
    </xf>
    <xf numFmtId="3" fontId="0" fillId="0" borderId="1" xfId="0" applyNumberFormat="1" applyBorder="1" applyAlignment="1">
      <alignment wrapText="1"/>
    </xf>
    <xf numFmtId="3" fontId="0" fillId="0" borderId="8" xfId="0" applyNumberFormat="1" applyBorder="1"/>
    <xf numFmtId="3" fontId="0" fillId="0" borderId="0" xfId="0" applyNumberFormat="1"/>
    <xf numFmtId="3" fontId="9" fillId="0" borderId="8" xfId="0" applyNumberFormat="1" applyFont="1" applyBorder="1" applyAlignment="1">
      <alignment horizontal="center" vertical="center" wrapText="1"/>
    </xf>
    <xf numFmtId="4" fontId="0" fillId="0" borderId="15" xfId="0" applyNumberFormat="1" applyBorder="1"/>
    <xf numFmtId="4" fontId="7" fillId="0" borderId="5" xfId="0" applyNumberFormat="1" applyFont="1" applyBorder="1"/>
    <xf numFmtId="0" fontId="5" fillId="0" borderId="3" xfId="0" applyFont="1" applyBorder="1" applyAlignment="1">
      <alignment horizontal="center" vertical="center"/>
    </xf>
    <xf numFmtId="4" fontId="7" fillId="0" borderId="5" xfId="0" applyNumberFormat="1" applyFont="1" applyBorder="1" applyAlignment="1">
      <alignment wrapText="1"/>
    </xf>
    <xf numFmtId="165" fontId="0" fillId="0" borderId="0" xfId="1" applyNumberFormat="1" applyFont="1"/>
    <xf numFmtId="9" fontId="0" fillId="0" borderId="2" xfId="0" applyNumberFormat="1" applyBorder="1"/>
    <xf numFmtId="4" fontId="7" fillId="0" borderId="0" xfId="0" applyNumberFormat="1" applyFont="1"/>
    <xf numFmtId="0" fontId="7" fillId="0" borderId="0" xfId="0" quotePrefix="1" applyFont="1"/>
    <xf numFmtId="0" fontId="5" fillId="0" borderId="3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4" fontId="0" fillId="0" borderId="8" xfId="0" applyNumberFormat="1" applyBorder="1"/>
    <xf numFmtId="38" fontId="0" fillId="0" borderId="8" xfId="0" applyNumberFormat="1" applyBorder="1"/>
    <xf numFmtId="38" fontId="0" fillId="0" borderId="6" xfId="0" applyNumberFormat="1" applyBorder="1"/>
    <xf numFmtId="3" fontId="5" fillId="0" borderId="8" xfId="0" applyNumberFormat="1" applyFont="1" applyBorder="1" applyAlignment="1">
      <alignment horizontal="center" vertical="center" wrapText="1"/>
    </xf>
    <xf numFmtId="10" fontId="0" fillId="0" borderId="2" xfId="0" applyNumberFormat="1" applyBorder="1" applyAlignment="1">
      <alignment wrapText="1"/>
    </xf>
    <xf numFmtId="4" fontId="0" fillId="0" borderId="5" xfId="0" applyNumberFormat="1" applyBorder="1" applyAlignment="1">
      <alignment wrapText="1"/>
    </xf>
    <xf numFmtId="3" fontId="0" fillId="0" borderId="14" xfId="0" applyNumberFormat="1" applyBorder="1"/>
    <xf numFmtId="3" fontId="5" fillId="0" borderId="1" xfId="0" applyNumberFormat="1" applyFont="1" applyBorder="1" applyAlignment="1">
      <alignment horizontal="center" vertical="center" wrapText="1"/>
    </xf>
    <xf numFmtId="3" fontId="0" fillId="0" borderId="6" xfId="0" applyNumberFormat="1" applyBorder="1" applyAlignment="1">
      <alignment wrapText="1"/>
    </xf>
    <xf numFmtId="3" fontId="0" fillId="0" borderId="10" xfId="0" applyNumberFormat="1" applyBorder="1"/>
    <xf numFmtId="3" fontId="9" fillId="0" borderId="8" xfId="0" applyNumberFormat="1" applyFont="1" applyBorder="1" applyAlignment="1">
      <alignment wrapText="1"/>
    </xf>
    <xf numFmtId="3" fontId="0" fillId="0" borderId="4" xfId="0" applyNumberFormat="1" applyBorder="1" applyAlignment="1">
      <alignment wrapText="1"/>
    </xf>
    <xf numFmtId="3" fontId="0" fillId="0" borderId="5" xfId="0" applyNumberFormat="1" applyBorder="1"/>
    <xf numFmtId="3" fontId="0" fillId="0" borderId="7" xfId="0" applyNumberFormat="1" applyBorder="1"/>
    <xf numFmtId="43" fontId="0" fillId="0" borderId="15" xfId="3" applyFont="1" applyBorder="1" applyAlignment="1"/>
    <xf numFmtId="0" fontId="10" fillId="0" borderId="0" xfId="0" quotePrefix="1" applyFont="1"/>
    <xf numFmtId="4" fontId="10" fillId="0" borderId="0" xfId="0" applyNumberFormat="1" applyFont="1"/>
    <xf numFmtId="40" fontId="0" fillId="0" borderId="0" xfId="0" applyNumberFormat="1"/>
    <xf numFmtId="0" fontId="13" fillId="0" borderId="0" xfId="4" applyFont="1"/>
    <xf numFmtId="3" fontId="14" fillId="0" borderId="8" xfId="4" applyNumberFormat="1" applyFont="1" applyBorder="1"/>
    <xf numFmtId="41" fontId="13" fillId="0" borderId="8" xfId="4" applyNumberFormat="1" applyFont="1" applyBorder="1"/>
    <xf numFmtId="10" fontId="13" fillId="0" borderId="8" xfId="4" applyNumberFormat="1" applyFont="1" applyBorder="1"/>
    <xf numFmtId="3" fontId="13" fillId="0" borderId="0" xfId="4" applyNumberFormat="1" applyFont="1"/>
    <xf numFmtId="3" fontId="14" fillId="0" borderId="8" xfId="4" applyNumberFormat="1" applyFont="1" applyBorder="1" applyAlignment="1">
      <alignment wrapText="1"/>
    </xf>
    <xf numFmtId="10" fontId="13" fillId="0" borderId="8" xfId="4" applyNumberFormat="1" applyFont="1" applyBorder="1" applyAlignment="1">
      <alignment wrapText="1"/>
    </xf>
    <xf numFmtId="0" fontId="13" fillId="0" borderId="0" xfId="4" applyFont="1" applyAlignment="1">
      <alignment wrapText="1"/>
    </xf>
    <xf numFmtId="3" fontId="13" fillId="0" borderId="0" xfId="4" applyNumberFormat="1" applyFont="1" applyAlignment="1">
      <alignment horizontal="center"/>
    </xf>
    <xf numFmtId="14" fontId="13" fillId="0" borderId="0" xfId="4" applyNumberFormat="1" applyFont="1"/>
    <xf numFmtId="0" fontId="0" fillId="0" borderId="16" xfId="0" applyBorder="1" applyAlignment="1">
      <alignment wrapText="1"/>
    </xf>
    <xf numFmtId="10" fontId="0" fillId="0" borderId="8" xfId="0" applyNumberFormat="1" applyBorder="1" applyAlignment="1">
      <alignment wrapText="1"/>
    </xf>
    <xf numFmtId="166" fontId="0" fillId="0" borderId="8" xfId="5" applyNumberFormat="1" applyFont="1" applyFill="1" applyBorder="1" applyAlignment="1">
      <alignment wrapText="1"/>
    </xf>
    <xf numFmtId="0" fontId="13" fillId="0" borderId="0" xfId="0" applyFont="1"/>
    <xf numFmtId="3" fontId="0" fillId="0" borderId="8" xfId="0" applyNumberFormat="1" applyBorder="1" applyAlignment="1">
      <alignment wrapText="1"/>
    </xf>
    <xf numFmtId="166" fontId="13" fillId="0" borderId="8" xfId="5" applyNumberFormat="1" applyFont="1" applyFill="1" applyBorder="1"/>
    <xf numFmtId="166" fontId="13" fillId="0" borderId="8" xfId="5" applyNumberFormat="1" applyFont="1" applyFill="1" applyBorder="1" applyAlignment="1">
      <alignment wrapText="1"/>
    </xf>
    <xf numFmtId="0" fontId="0" fillId="0" borderId="17" xfId="0" applyBorder="1" applyAlignment="1">
      <alignment wrapText="1"/>
    </xf>
    <xf numFmtId="166" fontId="13" fillId="0" borderId="8" xfId="5" applyNumberFormat="1" applyFont="1" applyFill="1" applyBorder="1" applyAlignment="1"/>
    <xf numFmtId="44" fontId="13" fillId="0" borderId="0" xfId="0" applyNumberFormat="1" applyFont="1"/>
    <xf numFmtId="10" fontId="13" fillId="0" borderId="8" xfId="0" applyNumberFormat="1" applyFont="1" applyBorder="1"/>
    <xf numFmtId="10" fontId="0" fillId="0" borderId="8" xfId="0" applyNumberFormat="1" applyBorder="1"/>
    <xf numFmtId="166" fontId="0" fillId="0" borderId="8" xfId="5" applyNumberFormat="1" applyFont="1" applyBorder="1"/>
    <xf numFmtId="166" fontId="0" fillId="0" borderId="8" xfId="0" applyNumberFormat="1" applyBorder="1"/>
    <xf numFmtId="0" fontId="13" fillId="2" borderId="0" xfId="4" applyFont="1" applyFill="1"/>
    <xf numFmtId="14" fontId="13" fillId="0" borderId="0" xfId="0" applyNumberFormat="1" applyFont="1"/>
    <xf numFmtId="10" fontId="13" fillId="0" borderId="0" xfId="1" applyNumberFormat="1" applyFont="1" applyFill="1"/>
    <xf numFmtId="0" fontId="13" fillId="0" borderId="0" xfId="0" applyFont="1" applyAlignment="1">
      <alignment wrapText="1"/>
    </xf>
    <xf numFmtId="0" fontId="0" fillId="0" borderId="16" xfId="0" applyBorder="1"/>
    <xf numFmtId="43" fontId="7" fillId="0" borderId="0" xfId="3" applyFont="1"/>
    <xf numFmtId="43" fontId="7" fillId="0" borderId="0" xfId="0" applyNumberFormat="1" applyFont="1"/>
    <xf numFmtId="40" fontId="0" fillId="0" borderId="1" xfId="0" applyNumberFormat="1" applyBorder="1"/>
    <xf numFmtId="43" fontId="0" fillId="0" borderId="1" xfId="3" applyFont="1" applyBorder="1"/>
    <xf numFmtId="43" fontId="0" fillId="0" borderId="0" xfId="0" applyNumberFormat="1"/>
    <xf numFmtId="43" fontId="0" fillId="0" borderId="0" xfId="3" applyFont="1"/>
    <xf numFmtId="43" fontId="5" fillId="0" borderId="3" xfId="3" applyFont="1" applyFill="1" applyBorder="1" applyAlignment="1">
      <alignment horizontal="center" vertical="center" wrapText="1"/>
    </xf>
    <xf numFmtId="43" fontId="0" fillId="0" borderId="0" xfId="3" applyFont="1" applyBorder="1"/>
    <xf numFmtId="43" fontId="5" fillId="0" borderId="0" xfId="0" applyNumberFormat="1" applyFont="1"/>
    <xf numFmtId="0" fontId="7" fillId="3" borderId="0" xfId="0" applyFont="1" applyFill="1"/>
    <xf numFmtId="0" fontId="0" fillId="3" borderId="0" xfId="0" applyFill="1"/>
    <xf numFmtId="4" fontId="7" fillId="3" borderId="5" xfId="0" applyNumberFormat="1" applyFont="1" applyFill="1" applyBorder="1" applyAlignment="1">
      <alignment wrapText="1"/>
    </xf>
    <xf numFmtId="43" fontId="0" fillId="3" borderId="0" xfId="3" applyFont="1" applyFill="1"/>
    <xf numFmtId="4" fontId="0" fillId="3" borderId="15" xfId="0" applyNumberFormat="1" applyFill="1" applyBorder="1"/>
    <xf numFmtId="43" fontId="0" fillId="3" borderId="0" xfId="0" applyNumberFormat="1" applyFill="1"/>
    <xf numFmtId="43" fontId="0" fillId="3" borderId="15" xfId="3" applyFont="1" applyFill="1" applyBorder="1" applyAlignment="1"/>
    <xf numFmtId="3" fontId="0" fillId="3" borderId="0" xfId="0" applyNumberFormat="1" applyFill="1"/>
    <xf numFmtId="0" fontId="13" fillId="0" borderId="0" xfId="6" applyFont="1"/>
    <xf numFmtId="14" fontId="13" fillId="0" borderId="0" xfId="6" applyNumberFormat="1" applyFont="1"/>
    <xf numFmtId="10" fontId="13" fillId="0" borderId="0" xfId="7" applyNumberFormat="1" applyFont="1" applyFill="1"/>
    <xf numFmtId="0" fontId="13" fillId="0" borderId="0" xfId="6" applyFont="1" applyAlignment="1">
      <alignment wrapText="1"/>
    </xf>
    <xf numFmtId="9" fontId="13" fillId="0" borderId="8" xfId="7" applyFont="1" applyFill="1" applyBorder="1"/>
    <xf numFmtId="166" fontId="13" fillId="0" borderId="8" xfId="8" applyNumberFormat="1" applyFont="1" applyFill="1" applyBorder="1"/>
    <xf numFmtId="9" fontId="13" fillId="0" borderId="8" xfId="6" applyNumberFormat="1" applyFont="1" applyBorder="1"/>
    <xf numFmtId="166" fontId="13" fillId="0" borderId="8" xfId="6" applyNumberFormat="1" applyFont="1" applyBorder="1"/>
    <xf numFmtId="44" fontId="13" fillId="0" borderId="0" xfId="8" applyFont="1" applyFill="1"/>
    <xf numFmtId="166" fontId="13" fillId="0" borderId="0" xfId="6" applyNumberFormat="1" applyFont="1"/>
    <xf numFmtId="3" fontId="0" fillId="0" borderId="15" xfId="0" applyNumberFormat="1" applyBorder="1"/>
    <xf numFmtId="3" fontId="0" fillId="3" borderId="15" xfId="0" applyNumberFormat="1" applyFill="1" applyBorder="1"/>
    <xf numFmtId="3" fontId="0" fillId="0" borderId="15" xfId="3" applyNumberFormat="1" applyFont="1" applyBorder="1" applyAlignment="1"/>
    <xf numFmtId="3" fontId="0" fillId="3" borderId="15" xfId="3" applyNumberFormat="1" applyFont="1" applyFill="1" applyBorder="1" applyAlignment="1"/>
    <xf numFmtId="167" fontId="0" fillId="0" borderId="0" xfId="0" applyNumberFormat="1"/>
    <xf numFmtId="0" fontId="2" fillId="0" borderId="0" xfId="9"/>
    <xf numFmtId="0" fontId="17" fillId="7" borderId="18" xfId="9" applyFont="1" applyFill="1" applyBorder="1"/>
    <xf numFmtId="0" fontId="17" fillId="7" borderId="19" xfId="9" applyFont="1" applyFill="1" applyBorder="1"/>
    <xf numFmtId="0" fontId="2" fillId="0" borderId="20" xfId="9" applyBorder="1" applyAlignment="1">
      <alignment horizontal="left"/>
    </xf>
    <xf numFmtId="10" fontId="2" fillId="0" borderId="21" xfId="9" applyNumberFormat="1" applyBorder="1"/>
    <xf numFmtId="166" fontId="2" fillId="0" borderId="20" xfId="9" applyNumberFormat="1" applyBorder="1"/>
    <xf numFmtId="166" fontId="2" fillId="0" borderId="21" xfId="9" applyNumberFormat="1" applyBorder="1"/>
    <xf numFmtId="0" fontId="2" fillId="0" borderId="22" xfId="9" applyBorder="1" applyAlignment="1">
      <alignment horizontal="left"/>
    </xf>
    <xf numFmtId="10" fontId="2" fillId="0" borderId="23" xfId="9" applyNumberFormat="1" applyBorder="1"/>
    <xf numFmtId="166" fontId="2" fillId="0" borderId="22" xfId="9" applyNumberFormat="1" applyBorder="1"/>
    <xf numFmtId="166" fontId="2" fillId="0" borderId="23" xfId="9" applyNumberFormat="1" applyBorder="1"/>
    <xf numFmtId="0" fontId="16" fillId="0" borderId="24" xfId="9" applyFont="1" applyBorder="1" applyAlignment="1">
      <alignment horizontal="left"/>
    </xf>
    <xf numFmtId="10" fontId="16" fillId="0" borderId="25" xfId="9" applyNumberFormat="1" applyFont="1" applyBorder="1"/>
    <xf numFmtId="166" fontId="16" fillId="0" borderId="24" xfId="9" applyNumberFormat="1" applyFont="1" applyBorder="1"/>
    <xf numFmtId="166" fontId="16" fillId="0" borderId="25" xfId="9" applyNumberFormat="1" applyFont="1" applyBorder="1"/>
    <xf numFmtId="0" fontId="16" fillId="0" borderId="26" xfId="9" applyFont="1" applyBorder="1" applyAlignment="1">
      <alignment horizontal="left"/>
    </xf>
    <xf numFmtId="10" fontId="16" fillId="0" borderId="27" xfId="9" applyNumberFormat="1" applyFont="1" applyBorder="1"/>
    <xf numFmtId="166" fontId="16" fillId="2" borderId="26" xfId="9" applyNumberFormat="1" applyFont="1" applyFill="1" applyBorder="1"/>
    <xf numFmtId="166" fontId="16" fillId="0" borderId="27" xfId="9" applyNumberFormat="1" applyFont="1" applyBorder="1"/>
    <xf numFmtId="166" fontId="16" fillId="0" borderId="26" xfId="9" applyNumberFormat="1" applyFont="1" applyBorder="1"/>
    <xf numFmtId="44" fontId="2" fillId="0" borderId="0" xfId="9" applyNumberFormat="1"/>
    <xf numFmtId="166" fontId="2" fillId="0" borderId="0" xfId="9" applyNumberFormat="1"/>
    <xf numFmtId="168" fontId="0" fillId="0" borderId="0" xfId="10" applyNumberFormat="1" applyFont="1"/>
    <xf numFmtId="0" fontId="5" fillId="0" borderId="0" xfId="0" applyFont="1"/>
    <xf numFmtId="38" fontId="0" fillId="0" borderId="15" xfId="0" applyNumberFormat="1" applyBorder="1"/>
    <xf numFmtId="0" fontId="20" fillId="0" borderId="0" xfId="0" applyFont="1"/>
    <xf numFmtId="0" fontId="16" fillId="0" borderId="0" xfId="0" applyFont="1" applyAlignment="1">
      <alignment horizontal="center"/>
    </xf>
    <xf numFmtId="0" fontId="0" fillId="0" borderId="0" xfId="0" applyAlignment="1">
      <alignment horizontal="center"/>
    </xf>
    <xf numFmtId="10" fontId="0" fillId="0" borderId="0" xfId="1" applyNumberFormat="1" applyFont="1"/>
    <xf numFmtId="0" fontId="16" fillId="0" borderId="0" xfId="0" applyFont="1" applyAlignment="1">
      <alignment horizontal="right"/>
    </xf>
    <xf numFmtId="44" fontId="16" fillId="0" borderId="0" xfId="5" applyFont="1"/>
    <xf numFmtId="44" fontId="0" fillId="0" borderId="0" xfId="0" applyNumberFormat="1"/>
    <xf numFmtId="3" fontId="0" fillId="0" borderId="0" xfId="3" applyNumberFormat="1" applyFont="1"/>
    <xf numFmtId="0" fontId="22" fillId="0" borderId="0" xfId="11" applyFont="1"/>
    <xf numFmtId="169" fontId="22" fillId="0" borderId="0" xfId="12" applyNumberFormat="1" applyFont="1"/>
    <xf numFmtId="0" fontId="22" fillId="0" borderId="0" xfId="11" applyFont="1" applyAlignment="1">
      <alignment wrapText="1"/>
    </xf>
    <xf numFmtId="166" fontId="22" fillId="0" borderId="8" xfId="13" applyNumberFormat="1" applyFont="1" applyBorder="1"/>
    <xf numFmtId="0" fontId="22" fillId="0" borderId="0" xfId="11" applyFont="1" applyAlignment="1">
      <alignment horizontal="right"/>
    </xf>
    <xf numFmtId="169" fontId="22" fillId="0" borderId="15" xfId="12" applyNumberFormat="1" applyFont="1" applyBorder="1"/>
    <xf numFmtId="0" fontId="23" fillId="0" borderId="0" xfId="11" applyFont="1"/>
    <xf numFmtId="0" fontId="22" fillId="0" borderId="0" xfId="0" applyFont="1" applyAlignment="1">
      <alignment wrapText="1"/>
    </xf>
    <xf numFmtId="0" fontId="22" fillId="0" borderId="0" xfId="0" applyFont="1"/>
    <xf numFmtId="166" fontId="0" fillId="0" borderId="0" xfId="0" applyNumberFormat="1"/>
    <xf numFmtId="169" fontId="22" fillId="0" borderId="0" xfId="2" applyNumberFormat="1" applyFont="1"/>
    <xf numFmtId="0" fontId="0" fillId="0" borderId="15" xfId="0" applyBorder="1"/>
    <xf numFmtId="166" fontId="0" fillId="0" borderId="15" xfId="0" applyNumberFormat="1" applyBorder="1"/>
    <xf numFmtId="169" fontId="22" fillId="0" borderId="15" xfId="2" applyNumberFormat="1" applyFont="1" applyBorder="1"/>
    <xf numFmtId="9" fontId="22" fillId="0" borderId="8" xfId="1" applyFont="1" applyBorder="1"/>
    <xf numFmtId="0" fontId="22" fillId="0" borderId="0" xfId="0" applyFont="1" applyAlignment="1">
      <alignment horizontal="right"/>
    </xf>
    <xf numFmtId="22" fontId="21" fillId="0" borderId="0" xfId="0" applyNumberFormat="1" applyFont="1"/>
    <xf numFmtId="22" fontId="7" fillId="0" borderId="0" xfId="0" applyNumberFormat="1" applyFont="1" applyAlignment="1">
      <alignment horizontal="center"/>
    </xf>
    <xf numFmtId="0" fontId="19" fillId="4" borderId="0" xfId="9" applyFont="1" applyFill="1" applyAlignment="1">
      <alignment horizontal="center"/>
    </xf>
    <xf numFmtId="0" fontId="19" fillId="5" borderId="0" xfId="9" applyFont="1" applyFill="1" applyAlignment="1">
      <alignment horizontal="center"/>
    </xf>
    <xf numFmtId="0" fontId="19" fillId="6" borderId="0" xfId="9" applyFont="1" applyFill="1" applyAlignment="1">
      <alignment horizontal="center"/>
    </xf>
    <xf numFmtId="0" fontId="18" fillId="0" borderId="0" xfId="9" applyFont="1" applyAlignment="1">
      <alignment horizontal="center" vertical="center"/>
    </xf>
    <xf numFmtId="14" fontId="2" fillId="0" borderId="0" xfId="9" applyNumberFormat="1" applyAlignment="1">
      <alignment horizontal="center" vertical="center" wrapText="1"/>
    </xf>
    <xf numFmtId="0" fontId="13" fillId="0" borderId="0" xfId="4" applyFont="1" applyAlignment="1">
      <alignment horizontal="center"/>
    </xf>
    <xf numFmtId="0" fontId="0" fillId="0" borderId="28" xfId="0" applyBorder="1"/>
    <xf numFmtId="0" fontId="0" fillId="0" borderId="29" xfId="0" applyBorder="1"/>
    <xf numFmtId="165" fontId="0" fillId="0" borderId="30" xfId="1" applyNumberFormat="1" applyFont="1" applyBorder="1"/>
    <xf numFmtId="0" fontId="0" fillId="0" borderId="31" xfId="0" applyBorder="1"/>
    <xf numFmtId="0" fontId="0" fillId="0" borderId="30" xfId="0" applyBorder="1"/>
    <xf numFmtId="38" fontId="0" fillId="0" borderId="32" xfId="0" applyNumberFormat="1" applyBorder="1"/>
    <xf numFmtId="0" fontId="0" fillId="0" borderId="33" xfId="0" applyBorder="1"/>
  </cellXfs>
  <cellStyles count="14">
    <cellStyle name="Comma" xfId="3" builtinId="3"/>
    <cellStyle name="Comma 2" xfId="2" xr:uid="{00000000-0005-0000-0000-000001000000}"/>
    <cellStyle name="Comma 3" xfId="12" xr:uid="{83293349-30C1-4F61-AE2E-D38D54BAE91E}"/>
    <cellStyle name="Currency" xfId="5" builtinId="4"/>
    <cellStyle name="Currency 2" xfId="8" xr:uid="{00000000-0005-0000-0000-000003000000}"/>
    <cellStyle name="Currency 3" xfId="13" xr:uid="{4F4B396E-3043-42DC-AFB6-7E21C97D641C}"/>
    <cellStyle name="Normal" xfId="0" builtinId="0"/>
    <cellStyle name="Normal 2" xfId="4" xr:uid="{00000000-0005-0000-0000-000005000000}"/>
    <cellStyle name="Normal 3" xfId="6" xr:uid="{00000000-0005-0000-0000-000006000000}"/>
    <cellStyle name="Normal 4" xfId="9" xr:uid="{00000000-0005-0000-0000-000007000000}"/>
    <cellStyle name="Normal 5" xfId="11" xr:uid="{DF6DE54B-759D-4EFE-8598-ED11991DAA1F}"/>
    <cellStyle name="Percent" xfId="1" builtinId="5"/>
    <cellStyle name="Percent 2" xfId="7" xr:uid="{00000000-0005-0000-0000-000009000000}"/>
    <cellStyle name="Percent 3" xfId="10" xr:uid="{00000000-0005-0000-0000-00000A000000}"/>
  </cellStyles>
  <dxfs count="13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center" vertical="bottom" textRotation="0" wrapText="0" indent="0" justifyLastLine="0" shrinkToFit="0" readingOrder="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5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4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3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2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Relationship Id="rId22" Type="http://schemas.microsoft.com/office/2017/10/relationships/person" Target="persons/perso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18</xdr:col>
      <xdr:colOff>274819</xdr:colOff>
      <xdr:row>32</xdr:row>
      <xdr:rowOff>18400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247619" cy="5200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benjs/OneDrive/Documents/+%20TEMP%20FOR%20WORK/WIOA%20allocations/WIOA%20Final%20Formula%20-%20SFY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hiodas-my.sharepoint.com/personal/10182651_id_ohio_gov/Documents/Downloads/County%20Breakdown%20pivot%20template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36a9f99d49f6e47c/Documents/21-22%20WIOA15/OVER%202021-22%20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2020-20201%20Allocations%20WIOA%20May%2011%202020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Rebecca%20Safko/Documents/A%20Director/One-Stop/MOU%2019-21/Revised%20MOU%20budget%20overview%202019-2021%200624201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 TEGL 16-18"/>
      <sheetName val="I. Allocations"/>
      <sheetName val="II. Hold Harmless"/>
      <sheetName val="III. Adjustments"/>
      <sheetName val="IV. PY-FY Split"/>
      <sheetName val="ASU UNEMPLOYED 2019"/>
      <sheetName val="SFY EXCESS UNEMPLOYED 2019"/>
      <sheetName val="Disadvantaged"/>
      <sheetName val="INSURED UNEMPLOYED 2019"/>
      <sheetName val="UNEMP CONCENTRATIONS 2019"/>
      <sheetName val="Non-WARN stats"/>
      <sheetName val="WARN stats"/>
      <sheetName val="DECLINING INDUSTRIES 2018"/>
      <sheetName val="Farm statistic"/>
      <sheetName val="UNEMPLOYED 15+ 2019"/>
    </sheetNames>
    <sheetDataSet>
      <sheetData sheetId="0">
        <row r="4">
          <cell r="B4">
            <v>42414320</v>
          </cell>
        </row>
        <row r="5">
          <cell r="B5">
            <v>37181539</v>
          </cell>
        </row>
        <row r="6">
          <cell r="B6">
            <v>45496637</v>
          </cell>
        </row>
      </sheetData>
      <sheetData sheetId="1"/>
      <sheetData sheetId="2"/>
      <sheetData sheetId="3">
        <row r="11">
          <cell r="G11">
            <v>1475418.6683251751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V. PY-FY Split"/>
      <sheetName val="SFY21_WIOA_Allocations"/>
      <sheetName val="Pivot_data"/>
      <sheetName val="Prescrub_data"/>
      <sheetName val="LAW_convert"/>
      <sheetName val="IV. PY-FY Split (2)"/>
    </sheetNames>
    <sheetDataSet>
      <sheetData sheetId="0"/>
      <sheetData sheetId="1"/>
      <sheetData sheetId="2"/>
      <sheetData sheetId="3"/>
      <sheetData sheetId="4">
        <row r="2">
          <cell r="A2" t="str">
            <v>LAW</v>
          </cell>
          <cell r="B2" t="str">
            <v>WIOA</v>
          </cell>
        </row>
        <row r="3">
          <cell r="A3" t="str">
            <v>LAW01</v>
          </cell>
          <cell r="B3" t="str">
            <v>Area 1</v>
          </cell>
        </row>
        <row r="4">
          <cell r="A4" t="str">
            <v>LAW03</v>
          </cell>
          <cell r="B4" t="str">
            <v>Area 3</v>
          </cell>
        </row>
        <row r="5">
          <cell r="A5" t="str">
            <v>LAW04</v>
          </cell>
          <cell r="B5" t="str">
            <v>Area 4</v>
          </cell>
        </row>
        <row r="6">
          <cell r="A6" t="str">
            <v>LAW05</v>
          </cell>
          <cell r="B6" t="str">
            <v>Area 5</v>
          </cell>
        </row>
        <row r="7">
          <cell r="A7" t="str">
            <v>LAW06</v>
          </cell>
          <cell r="B7" t="str">
            <v>Area 6</v>
          </cell>
        </row>
        <row r="8">
          <cell r="A8" t="str">
            <v>LAW07</v>
          </cell>
          <cell r="B8" t="str">
            <v>Area 7</v>
          </cell>
        </row>
        <row r="9">
          <cell r="A9" t="str">
            <v>LAW08</v>
          </cell>
          <cell r="B9" t="str">
            <v>Area 8</v>
          </cell>
        </row>
        <row r="10">
          <cell r="A10" t="str">
            <v>LAW09</v>
          </cell>
          <cell r="B10" t="str">
            <v>Area 9</v>
          </cell>
        </row>
        <row r="11">
          <cell r="A11" t="str">
            <v>LAW10</v>
          </cell>
          <cell r="B11" t="str">
            <v>Area 10</v>
          </cell>
        </row>
        <row r="12">
          <cell r="A12" t="str">
            <v>LAW11</v>
          </cell>
          <cell r="B12" t="str">
            <v>Area 11</v>
          </cell>
        </row>
        <row r="13">
          <cell r="A13" t="str">
            <v>LAW12</v>
          </cell>
          <cell r="B13" t="str">
            <v>Area 12</v>
          </cell>
        </row>
        <row r="14">
          <cell r="A14" t="str">
            <v>LAW13</v>
          </cell>
          <cell r="B14" t="str">
            <v>Area 13</v>
          </cell>
        </row>
        <row r="15">
          <cell r="A15" t="str">
            <v>LAW14</v>
          </cell>
          <cell r="B15" t="str">
            <v>Area 14</v>
          </cell>
        </row>
        <row r="16">
          <cell r="A16" t="str">
            <v>LAW15</v>
          </cell>
          <cell r="B16" t="str">
            <v>Area 15</v>
          </cell>
        </row>
        <row r="17">
          <cell r="A17" t="str">
            <v>LAW16</v>
          </cell>
          <cell r="B17" t="str">
            <v>Area 16</v>
          </cell>
        </row>
        <row r="18">
          <cell r="A18" t="str">
            <v>LAW17</v>
          </cell>
          <cell r="B18" t="str">
            <v>Area 17</v>
          </cell>
        </row>
        <row r="19">
          <cell r="A19" t="str">
            <v>LAW18</v>
          </cell>
          <cell r="B19" t="str">
            <v>Area 18</v>
          </cell>
        </row>
        <row r="20">
          <cell r="A20" t="str">
            <v>LAW19</v>
          </cell>
          <cell r="B20" t="str">
            <v>Area 19</v>
          </cell>
        </row>
        <row r="21">
          <cell r="A21" t="str">
            <v>LAW20</v>
          </cell>
          <cell r="B21" t="str">
            <v>Area 2</v>
          </cell>
        </row>
        <row r="22">
          <cell r="A22" t="str">
            <v>LAW21</v>
          </cell>
          <cell r="B22" t="str">
            <v>Area 20</v>
          </cell>
        </row>
      </sheetData>
      <sheetData sheetId="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Index"/>
      <sheetName val="CFIS codes"/>
      <sheetName val="Allocation Sheet"/>
      <sheetName val="Draw"/>
      <sheetName val="entry FA"/>
      <sheetName val="Bill List-Formula"/>
      <sheetName val="Expenditure"/>
      <sheetName val="WIOA CCMEP"/>
      <sheetName val="TANF CCMEP"/>
      <sheetName val="Shard or RMSacc"/>
      <sheetName val="Cash on Hand"/>
      <sheetName val="Omni Circ Cont Descrip"/>
      <sheetName val="Prog Inc-Stand In"/>
      <sheetName val="One-Stop"/>
      <sheetName val="entry"/>
    </sheetNames>
    <sheetDataSet>
      <sheetData sheetId="0"/>
      <sheetData sheetId="1"/>
      <sheetData sheetId="2"/>
      <sheetData sheetId="3">
        <row r="14">
          <cell r="D14">
            <v>10563</v>
          </cell>
          <cell r="E14">
            <v>49786</v>
          </cell>
        </row>
        <row r="15">
          <cell r="D15">
            <v>9626</v>
          </cell>
          <cell r="E15">
            <v>40960</v>
          </cell>
        </row>
        <row r="16">
          <cell r="D16">
            <v>61770</v>
          </cell>
        </row>
      </sheetData>
      <sheetData sheetId="4"/>
      <sheetData sheetId="5"/>
      <sheetData sheetId="6"/>
      <sheetData sheetId="7">
        <row r="5">
          <cell r="L5">
            <v>87000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FY21_WIOA_Allocations"/>
    </sheetNames>
    <sheetDataSet>
      <sheetData sheetId="0" refreshError="1">
        <row r="14">
          <cell r="C14">
            <v>199943</v>
          </cell>
          <cell r="F14">
            <v>32143</v>
          </cell>
          <cell r="G14">
            <v>160393</v>
          </cell>
          <cell r="I14">
            <v>43753</v>
          </cell>
          <cell r="J14">
            <v>195843</v>
          </cell>
        </row>
        <row r="15">
          <cell r="C15">
            <v>131967</v>
          </cell>
          <cell r="F15">
            <v>21210</v>
          </cell>
          <cell r="G15">
            <v>105839</v>
          </cell>
          <cell r="I15">
            <v>17716</v>
          </cell>
          <cell r="J15">
            <v>79298</v>
          </cell>
        </row>
        <row r="16">
          <cell r="C16">
            <v>125489</v>
          </cell>
          <cell r="F16">
            <v>22004</v>
          </cell>
          <cell r="G16">
            <v>109798</v>
          </cell>
          <cell r="I16">
            <v>20142</v>
          </cell>
          <cell r="J16">
            <v>90161</v>
          </cell>
        </row>
        <row r="17">
          <cell r="C17">
            <v>384362</v>
          </cell>
          <cell r="F17">
            <v>61105</v>
          </cell>
          <cell r="G17">
            <v>304917</v>
          </cell>
          <cell r="I17">
            <v>38331</v>
          </cell>
          <cell r="J17">
            <v>171574</v>
          </cell>
        </row>
        <row r="18">
          <cell r="C18">
            <v>841761</v>
          </cell>
          <cell r="F18">
            <v>136462</v>
          </cell>
          <cell r="G18">
            <v>680947</v>
          </cell>
          <cell r="I18">
            <v>119942</v>
          </cell>
          <cell r="J18">
            <v>536876</v>
          </cell>
        </row>
      </sheetData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-20 MOUbilling"/>
      <sheetName val="19-20 MOUrevN"/>
      <sheetName val="19-20 MOU"/>
      <sheetName val="20-21 MOURevN"/>
      <sheetName val="20-21 MOU"/>
      <sheetName val="17-19 MOU"/>
      <sheetName val="Washington Change"/>
    </sheetNames>
    <sheetDataSet>
      <sheetData sheetId="0"/>
      <sheetData sheetId="1"/>
      <sheetData sheetId="2"/>
      <sheetData sheetId="3"/>
      <sheetData sheetId="4">
        <row r="65">
          <cell r="B65">
            <v>34206.45709430756</v>
          </cell>
          <cell r="C65">
            <v>36703.196202531646</v>
          </cell>
          <cell r="D65">
            <v>12961.493466085874</v>
          </cell>
          <cell r="E65">
            <v>17469.62837837838</v>
          </cell>
        </row>
      </sheetData>
      <sheetData sheetId="5"/>
      <sheetData sheetId="6"/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/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66DDC14B-9A3C-40A8-A945-6BF1C05F2A44}" name="Table3" displayName="Table3" ref="A3:L9" totalsRowShown="0" headerRowDxfId="12" dataDxfId="11" dataCellStyle="Comma">
  <tableColumns count="12">
    <tableColumn id="1" xr3:uid="{7F663BE4-63F7-4417-8040-7C2EFC44CBA2}" name="Local Area"/>
    <tableColumn id="2" xr3:uid="{0BB09E08-5DD3-4CBE-B14C-C28C24FA83F0}" name="County No." dataDxfId="10"/>
    <tableColumn id="3" xr3:uid="{97F9CBAF-6F46-4FBA-B319-B0A30004A2BC}" name="County" dataDxfId="9"/>
    <tableColumn id="4" xr3:uid="{7FF927EE-8BF7-4AB5-AA7A-73BB20BF4B3B}" name="Adult" dataDxfId="8" dataCellStyle="Comma"/>
    <tableColumn id="5" xr3:uid="{CA772221-7BD0-45BB-9F54-A8D9F8DF6995}" name="Youth " dataDxfId="7" dataCellStyle="Comma"/>
    <tableColumn id="6" xr3:uid="{8DC2F9FE-B9C0-4B72-ABD6-1FCD1C53262E}" name="Dislocated" dataDxfId="6" dataCellStyle="Comma"/>
    <tableColumn id="7" xr3:uid="{3B8CA8EE-EF10-4BB5-BE43-41571F94F2D3}" name="." dataDxfId="5" dataCellStyle="Comma"/>
    <tableColumn id="8" xr3:uid="{0E70F84E-FE8E-4BD1-8561-FCD99A4A30B4}" name="Adult2" dataDxfId="4" dataCellStyle="Comma"/>
    <tableColumn id="9" xr3:uid="{0320B11B-CC7A-47E9-865E-58E66CE4B368}" name="Adult3" dataDxfId="3" dataCellStyle="Comma"/>
    <tableColumn id="10" xr3:uid="{C1FAB35A-D594-4876-AA98-4B0E873BFE5E}" name="," dataDxfId="2" dataCellStyle="Comma"/>
    <tableColumn id="11" xr3:uid="{A90550E1-D098-4535-BDF3-2AB7906E3291}" name="Dis Wkr" dataDxfId="1" dataCellStyle="Comma"/>
    <tableColumn id="12" xr3:uid="{F4D8BA5B-76B5-4C3E-BB8D-FE07A1DDBF17}" name="Dis Wkr5" dataDxfId="0" dataCellStyle="Comma"/>
  </tableColumns>
  <tableStyleInfo name="TableStyleDark1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9EE3C2-3F53-4F2E-A8DA-3CF534FD5C02}">
  <sheetPr>
    <pageSetUpPr fitToPage="1"/>
  </sheetPr>
  <dimension ref="B1:V74"/>
  <sheetViews>
    <sheetView tabSelected="1" topLeftCell="B56" zoomScale="118" zoomScaleNormal="118" workbookViewId="0">
      <selection activeCell="F64" sqref="F64:G67"/>
    </sheetView>
  </sheetViews>
  <sheetFormatPr defaultColWidth="9.109375" defaultRowHeight="13.2" x14ac:dyDescent="0.25"/>
  <cols>
    <col min="1" max="1" width="9.109375" customWidth="1"/>
    <col min="2" max="2" width="15.6640625" customWidth="1"/>
    <col min="3" max="3" width="11.44140625" customWidth="1"/>
    <col min="4" max="4" width="11.33203125" customWidth="1"/>
    <col min="5" max="5" width="10.5546875" customWidth="1"/>
    <col min="6" max="6" width="11.109375" customWidth="1"/>
    <col min="8" max="9" width="11.33203125" customWidth="1"/>
    <col min="10" max="10" width="12" customWidth="1"/>
    <col min="11" max="11" width="9.88671875" hidden="1" customWidth="1"/>
    <col min="12" max="12" width="10.109375" hidden="1" customWidth="1"/>
    <col min="13" max="15" width="10.5546875" hidden="1" customWidth="1"/>
    <col min="16" max="16" width="11" hidden="1" customWidth="1"/>
    <col min="18" max="18" width="14.44140625" customWidth="1"/>
    <col min="19" max="19" width="11.5546875" style="101" customWidth="1"/>
    <col min="20" max="20" width="14.109375" customWidth="1"/>
  </cols>
  <sheetData>
    <row r="1" spans="2:22" s="7" customFormat="1" ht="21" x14ac:dyDescent="0.4">
      <c r="C1" s="15" t="s">
        <v>141</v>
      </c>
      <c r="J1" s="172">
        <f ca="1">NOW()</f>
        <v>44884.557374074073</v>
      </c>
      <c r="K1" s="172"/>
    </row>
    <row r="2" spans="2:22" s="7" customFormat="1" ht="15.6" x14ac:dyDescent="0.3">
      <c r="C2" s="7" t="s">
        <v>159</v>
      </c>
      <c r="F2" s="19"/>
      <c r="S2" s="100"/>
    </row>
    <row r="3" spans="2:22" s="7" customFormat="1" ht="15.6" x14ac:dyDescent="0.3">
      <c r="S3" s="100"/>
    </row>
    <row r="4" spans="2:22" s="7" customFormat="1" ht="15.6" x14ac:dyDescent="0.3">
      <c r="S4" s="100"/>
    </row>
    <row r="5" spans="2:22" s="7" customFormat="1" ht="15.6" x14ac:dyDescent="0.3">
      <c r="C5" s="7" t="s">
        <v>101</v>
      </c>
      <c r="H5" s="7" t="s">
        <v>160</v>
      </c>
      <c r="R5" s="7" t="s">
        <v>102</v>
      </c>
      <c r="S5" s="100"/>
    </row>
    <row r="6" spans="2:22" ht="16.2" thickBot="1" x14ac:dyDescent="0.35">
      <c r="B6" s="7" t="s">
        <v>68</v>
      </c>
    </row>
    <row r="7" spans="2:22" ht="39" customHeight="1" thickBot="1" x14ac:dyDescent="0.35">
      <c r="B7" s="18" t="s">
        <v>3</v>
      </c>
      <c r="C7" s="43" t="s">
        <v>163</v>
      </c>
      <c r="D7" s="43" t="s">
        <v>144</v>
      </c>
      <c r="E7" s="24" t="s">
        <v>24</v>
      </c>
      <c r="F7" s="24" t="s">
        <v>23</v>
      </c>
      <c r="H7" s="43" t="s">
        <v>133</v>
      </c>
      <c r="I7" s="43" t="s">
        <v>110</v>
      </c>
      <c r="J7" s="43" t="s">
        <v>99</v>
      </c>
      <c r="K7" s="43" t="s">
        <v>40</v>
      </c>
      <c r="L7" s="43" t="s">
        <v>38</v>
      </c>
      <c r="M7" s="43" t="s">
        <v>37</v>
      </c>
      <c r="N7" s="42" t="s">
        <v>31</v>
      </c>
      <c r="O7" s="42" t="s">
        <v>34</v>
      </c>
      <c r="P7" s="42" t="s">
        <v>35</v>
      </c>
      <c r="R7" s="37" t="s">
        <v>161</v>
      </c>
      <c r="S7" s="102" t="s">
        <v>162</v>
      </c>
      <c r="T7" s="35" t="s">
        <v>87</v>
      </c>
    </row>
    <row r="8" spans="2:22" ht="12.75" customHeight="1" x14ac:dyDescent="0.25">
      <c r="B8" s="2" t="s">
        <v>7</v>
      </c>
      <c r="C8" s="55">
        <f>T8</f>
        <v>4936.3521844207989</v>
      </c>
      <c r="D8" s="45">
        <v>3876.0783064466514</v>
      </c>
      <c r="E8" s="8">
        <f t="shared" ref="E8:E13" si="0">C8-D8</f>
        <v>1060.2738779741476</v>
      </c>
      <c r="F8" s="9">
        <f t="shared" ref="F8:F13" si="1">-1+(C8/D8)</f>
        <v>0.27354294576833271</v>
      </c>
      <c r="H8" s="45">
        <v>7701.4400000000005</v>
      </c>
      <c r="I8" s="45">
        <v>4812.8006768596715</v>
      </c>
      <c r="J8" s="45">
        <v>3779.9924565869383</v>
      </c>
      <c r="K8" s="45">
        <v>4096.2880000000005</v>
      </c>
      <c r="L8" s="45">
        <v>2727.15</v>
      </c>
      <c r="M8" s="45">
        <v>2179.92</v>
      </c>
      <c r="N8" s="8">
        <v>1475.6759999999999</v>
      </c>
      <c r="O8" s="8">
        <v>1290.7760000000001</v>
      </c>
      <c r="P8" s="25">
        <v>1695</v>
      </c>
      <c r="R8" s="32">
        <f>'State eml 4-1-22 Scott France'!X6*0.4</f>
        <v>622.28798510684237</v>
      </c>
      <c r="S8" s="32">
        <f>'State eml 4-1-22 Scott France'!X14*0.4</f>
        <v>4314.064199313957</v>
      </c>
      <c r="T8" s="32">
        <f>R8+S8</f>
        <v>4936.3521844207989</v>
      </c>
    </row>
    <row r="9" spans="2:22" ht="12.75" customHeight="1" x14ac:dyDescent="0.25">
      <c r="B9" s="2" t="s">
        <v>8</v>
      </c>
      <c r="C9" s="55">
        <f t="shared" ref="C9:C12" si="2">T9</f>
        <v>3485.4969411859756</v>
      </c>
      <c r="D9" s="45">
        <v>3927.6714949540496</v>
      </c>
      <c r="E9" s="8">
        <f t="shared" si="0"/>
        <v>-442.17455376807402</v>
      </c>
      <c r="F9" s="9">
        <f t="shared" si="1"/>
        <v>-0.1125793117719095</v>
      </c>
      <c r="H9" s="45">
        <v>5081.96</v>
      </c>
      <c r="I9" s="45">
        <v>3820.5404867807806</v>
      </c>
      <c r="J9" s="45">
        <v>3149.895909943019</v>
      </c>
      <c r="K9" s="45">
        <v>3044.8360000000002</v>
      </c>
      <c r="L9" s="45">
        <v>2041.86</v>
      </c>
      <c r="M9" s="45">
        <v>1930.124</v>
      </c>
      <c r="N9" s="8">
        <v>1748.856</v>
      </c>
      <c r="O9" s="8">
        <v>1662.6520000000003</v>
      </c>
      <c r="P9" s="25">
        <v>1972</v>
      </c>
      <c r="R9" s="32">
        <f>'State eml 4-1-22 Scott France'!X7*0.4</f>
        <v>615.91047431469906</v>
      </c>
      <c r="S9" s="32">
        <f>'State eml 4-1-22 Scott France'!X15*0.4</f>
        <v>2869.5864668712766</v>
      </c>
      <c r="T9" s="32">
        <f t="shared" ref="T9:T12" si="3">R9+S9</f>
        <v>3485.4969411859756</v>
      </c>
    </row>
    <row r="10" spans="2:22" ht="12.75" customHeight="1" x14ac:dyDescent="0.25">
      <c r="B10" s="2" t="s">
        <v>9</v>
      </c>
      <c r="C10" s="55">
        <f t="shared" si="2"/>
        <v>3678.0765600147415</v>
      </c>
      <c r="D10" s="45">
        <v>3496.4104237140441</v>
      </c>
      <c r="E10" s="8">
        <f t="shared" si="0"/>
        <v>181.66613630069742</v>
      </c>
      <c r="F10" s="9">
        <f t="shared" si="1"/>
        <v>5.1957898039819872E-2</v>
      </c>
      <c r="H10" s="45">
        <v>5272.08</v>
      </c>
      <c r="I10" s="45">
        <v>3717.9789092758988</v>
      </c>
      <c r="J10" s="45">
        <v>2943.5529483525506</v>
      </c>
      <c r="K10" s="45">
        <v>2774.6560000000004</v>
      </c>
      <c r="L10" s="45">
        <v>1894.69</v>
      </c>
      <c r="M10" s="45">
        <v>1853.5120000000002</v>
      </c>
      <c r="N10" s="8">
        <v>1825.048</v>
      </c>
      <c r="O10" s="8">
        <v>1863.7840000000001</v>
      </c>
      <c r="P10" s="25">
        <v>1893</v>
      </c>
      <c r="R10" s="32">
        <f>'State eml 4-1-22 Scott France'!X8*0.4</f>
        <v>613.67631448305644</v>
      </c>
      <c r="S10" s="32">
        <f>'State eml 4-1-22 Scott France'!X16*0.4</f>
        <v>3064.400245531685</v>
      </c>
      <c r="T10" s="32">
        <f t="shared" si="3"/>
        <v>3678.0765600147415</v>
      </c>
    </row>
    <row r="11" spans="2:22" ht="12.75" customHeight="1" x14ac:dyDescent="0.25">
      <c r="B11" s="2" t="s">
        <v>10</v>
      </c>
      <c r="C11" s="55">
        <f t="shared" si="2"/>
        <v>9856.7943143784887</v>
      </c>
      <c r="D11" s="45">
        <v>12839.389961427434</v>
      </c>
      <c r="E11" s="8">
        <f t="shared" si="0"/>
        <v>-2982.5956470489455</v>
      </c>
      <c r="F11" s="9">
        <f t="shared" si="1"/>
        <v>-0.2323004173881601</v>
      </c>
      <c r="H11" s="45">
        <v>14640.880000000001</v>
      </c>
      <c r="I11" s="45">
        <v>11859.142707399747</v>
      </c>
      <c r="J11" s="45">
        <v>10263.132494274008</v>
      </c>
      <c r="K11" s="45">
        <v>8599.6200000000008</v>
      </c>
      <c r="L11" s="45">
        <v>5306.02</v>
      </c>
      <c r="M11" s="45">
        <v>4768.4340000000002</v>
      </c>
      <c r="N11" s="8">
        <v>4603.01</v>
      </c>
      <c r="O11" s="8">
        <v>4897.1880000000001</v>
      </c>
      <c r="P11" s="25">
        <v>5732</v>
      </c>
      <c r="R11" s="32">
        <f>'State eml 4-1-22 Scott France'!X9*0.4</f>
        <v>2163.005226095403</v>
      </c>
      <c r="S11" s="32">
        <f>'State eml 4-1-22 Scott France'!X17*0.4</f>
        <v>7693.7890882830852</v>
      </c>
      <c r="T11" s="32">
        <f t="shared" si="3"/>
        <v>9856.7943143784887</v>
      </c>
    </row>
    <row r="12" spans="2:22" ht="12.75" customHeight="1" thickBot="1" x14ac:dyDescent="0.3">
      <c r="B12" s="2" t="s">
        <v>11</v>
      </c>
      <c r="C12" s="55">
        <f t="shared" si="2"/>
        <v>32935.08</v>
      </c>
      <c r="D12" s="45">
        <v>36209.325279813267</v>
      </c>
      <c r="E12" s="8">
        <f t="shared" si="0"/>
        <v>-3274.2452798132654</v>
      </c>
      <c r="F12" s="9">
        <f t="shared" si="1"/>
        <v>-9.0425470635285721E-2</v>
      </c>
      <c r="H12" s="45">
        <v>49044.54</v>
      </c>
      <c r="I12" s="45">
        <v>36315.694170474148</v>
      </c>
      <c r="J12" s="45">
        <v>30204.860713734772</v>
      </c>
      <c r="K12" s="45">
        <v>27773.599999999999</v>
      </c>
      <c r="L12" s="45">
        <v>17954.28</v>
      </c>
      <c r="M12" s="45">
        <v>16098</v>
      </c>
      <c r="N12" s="8">
        <v>14480.4</v>
      </c>
      <c r="O12" s="8">
        <v>14571.6</v>
      </c>
      <c r="P12" s="25">
        <v>16938</v>
      </c>
      <c r="R12" s="32">
        <f>'State eml 4-1-22 Scott France'!X10*0.6</f>
        <v>6022.3200000000006</v>
      </c>
      <c r="S12" s="32">
        <f>'State eml 4-1-22 Scott France'!X18*0.6</f>
        <v>26912.760000000002</v>
      </c>
      <c r="T12" s="32">
        <f t="shared" si="3"/>
        <v>32935.08</v>
      </c>
      <c r="V12" s="32">
        <f>T12-R13+1</f>
        <v>22898.880000000001</v>
      </c>
    </row>
    <row r="13" spans="2:22" ht="12.75" customHeight="1" thickBot="1" x14ac:dyDescent="0.3">
      <c r="C13" s="56">
        <f>SUM(C8:C12)</f>
        <v>54891.80000000001</v>
      </c>
      <c r="D13" s="11">
        <f>SUM(D8:D12)</f>
        <v>60348.875466355443</v>
      </c>
      <c r="E13" s="8">
        <f t="shared" si="0"/>
        <v>-5457.0754663554326</v>
      </c>
      <c r="F13" s="9">
        <f t="shared" si="1"/>
        <v>-9.042547063528561E-2</v>
      </c>
      <c r="H13" s="11">
        <f>SUM(H8:H12)</f>
        <v>81740.900000000009</v>
      </c>
      <c r="I13" s="45">
        <f>SUM(I8:I12)</f>
        <v>60526.156950790246</v>
      </c>
      <c r="J13" s="45">
        <f>SUM(J8:J12)</f>
        <v>50341.434522891286</v>
      </c>
      <c r="K13" s="45">
        <f t="shared" ref="K13:P13" si="4">SUM(K8:K12)</f>
        <v>46289</v>
      </c>
      <c r="L13" s="45">
        <f t="shared" si="4"/>
        <v>29924</v>
      </c>
      <c r="M13" s="45">
        <f t="shared" si="4"/>
        <v>26829.99</v>
      </c>
      <c r="N13" s="11">
        <f t="shared" si="4"/>
        <v>24132.989999999998</v>
      </c>
      <c r="O13" s="11">
        <f t="shared" si="4"/>
        <v>24286</v>
      </c>
      <c r="P13" s="26">
        <f t="shared" si="4"/>
        <v>28230</v>
      </c>
      <c r="R13" s="118">
        <f t="shared" ref="R13:S13" si="5">SUM(R8:R12)</f>
        <v>10037.200000000001</v>
      </c>
      <c r="S13" s="119">
        <f t="shared" si="5"/>
        <v>44854.600000000006</v>
      </c>
      <c r="T13" s="118">
        <f>SUM(T8:T12)</f>
        <v>54891.80000000001</v>
      </c>
    </row>
    <row r="14" spans="2:22" ht="12.75" customHeight="1" x14ac:dyDescent="0.25">
      <c r="C14" s="32"/>
      <c r="E14" s="13"/>
      <c r="F14" s="14"/>
      <c r="N14" s="13"/>
      <c r="O14" s="13"/>
      <c r="R14" s="32"/>
      <c r="S14" s="107"/>
      <c r="T14" s="32"/>
    </row>
    <row r="15" spans="2:22" ht="17.25" customHeight="1" thickBot="1" x14ac:dyDescent="0.35">
      <c r="B15" s="7" t="s">
        <v>16</v>
      </c>
      <c r="C15" s="32"/>
      <c r="R15" s="96"/>
    </row>
    <row r="16" spans="2:22" ht="12.75" hidden="1" customHeight="1" thickBot="1" x14ac:dyDescent="0.3">
      <c r="C16" s="53">
        <f>483473*0.9</f>
        <v>435125.7</v>
      </c>
    </row>
    <row r="17" spans="2:22" ht="42" customHeight="1" thickBot="1" x14ac:dyDescent="0.35">
      <c r="B17" s="18" t="s">
        <v>3</v>
      </c>
      <c r="C17" s="43" t="str">
        <f>C7</f>
        <v>PY22 &amp; FY23 Actual</v>
      </c>
      <c r="D17" s="43" t="s">
        <v>144</v>
      </c>
      <c r="E17" s="24" t="s">
        <v>24</v>
      </c>
      <c r="F17" s="24" t="s">
        <v>23</v>
      </c>
      <c r="H17" s="43" t="str">
        <f>H7</f>
        <v>PY20 &amp; FY21 Actual</v>
      </c>
      <c r="I17" s="43" t="str">
        <f>I7</f>
        <v>PY19 &amp; FY20 Actual</v>
      </c>
      <c r="J17" s="43" t="str">
        <f>J7</f>
        <v>PY18 &amp; FY19 Actual</v>
      </c>
      <c r="K17" s="43" t="str">
        <f>K7</f>
        <v>PY17 &amp; FY18 Actual</v>
      </c>
      <c r="L17" s="43" t="s">
        <v>38</v>
      </c>
      <c r="M17" s="43" t="s">
        <v>37</v>
      </c>
      <c r="N17" s="42" t="s">
        <v>31</v>
      </c>
      <c r="O17" s="42" t="s">
        <v>34</v>
      </c>
      <c r="P17" s="42" t="s">
        <v>35</v>
      </c>
      <c r="R17" s="37" t="str">
        <f>R7</f>
        <v>PY22</v>
      </c>
      <c r="S17" s="102" t="str">
        <f>S7</f>
        <v>FY23</v>
      </c>
      <c r="T17" s="35" t="s">
        <v>87</v>
      </c>
    </row>
    <row r="18" spans="2:22" ht="12.75" customHeight="1" x14ac:dyDescent="0.25">
      <c r="B18" s="2" t="s">
        <v>7</v>
      </c>
      <c r="C18" s="55">
        <f>T18</f>
        <v>111067.92414946796</v>
      </c>
      <c r="D18" s="45">
        <v>87211.811895049643</v>
      </c>
      <c r="E18" s="8">
        <f t="shared" ref="E18:E22" si="6">C18-D18</f>
        <v>23856.112254418316</v>
      </c>
      <c r="F18" s="9">
        <f>-1+(C18/D18)</f>
        <v>0.27354221562472136</v>
      </c>
      <c r="H18" s="45">
        <v>173282.40000000002</v>
      </c>
      <c r="I18" s="45">
        <v>108288.01522934259</v>
      </c>
      <c r="J18" s="45">
        <v>85049.830273206113</v>
      </c>
      <c r="K18" s="45">
        <v>92168.79</v>
      </c>
      <c r="L18" s="45">
        <v>61354.85</v>
      </c>
      <c r="M18" s="45">
        <v>49052.160000000003</v>
      </c>
      <c r="N18" s="8">
        <v>33207.19</v>
      </c>
      <c r="O18" s="8">
        <v>29032.03</v>
      </c>
      <c r="P18" s="25">
        <v>38132</v>
      </c>
      <c r="R18" s="32">
        <f>'State eml 4-1-22 Scott France'!W6</f>
        <v>14001.479664903951</v>
      </c>
      <c r="S18" s="32">
        <f>'State eml 4-1-22 Scott France'!W14</f>
        <v>97066.44448456401</v>
      </c>
      <c r="T18" s="32">
        <f>R18+S18</f>
        <v>111067.92414946796</v>
      </c>
    </row>
    <row r="19" spans="2:22" ht="12.75" customHeight="1" x14ac:dyDescent="0.25">
      <c r="B19" s="2" t="s">
        <v>8</v>
      </c>
      <c r="C19" s="55">
        <f t="shared" ref="C19:C21" si="7">T19</f>
        <v>78423.681176684448</v>
      </c>
      <c r="D19" s="45">
        <v>88372.608636466117</v>
      </c>
      <c r="E19" s="8">
        <f t="shared" si="6"/>
        <v>-9948.9274597816693</v>
      </c>
      <c r="F19" s="9">
        <f>-1+(C19/D19)</f>
        <v>-0.11257931177190961</v>
      </c>
      <c r="H19" s="45">
        <v>114344.1</v>
      </c>
      <c r="I19" s="45">
        <v>85962.160952567559</v>
      </c>
      <c r="J19" s="45">
        <v>70872.657973717927</v>
      </c>
      <c r="K19" s="45">
        <v>68509.820000000007</v>
      </c>
      <c r="L19" s="45">
        <v>45941.429999999993</v>
      </c>
      <c r="M19" s="45">
        <v>43418.810000000005</v>
      </c>
      <c r="N19" s="8">
        <v>39345.279999999999</v>
      </c>
      <c r="O19" s="8">
        <v>37399.170000000006</v>
      </c>
      <c r="P19" s="25">
        <v>44379</v>
      </c>
      <c r="R19" s="32">
        <f>'State eml 4-1-22 Scott France'!W7</f>
        <v>13857.985672080726</v>
      </c>
      <c r="S19" s="32">
        <f>'State eml 4-1-22 Scott France'!W15</f>
        <v>64565.695504603718</v>
      </c>
      <c r="T19" s="32">
        <f t="shared" ref="T19:T21" si="8">R19+S19</f>
        <v>78423.681176684448</v>
      </c>
    </row>
    <row r="20" spans="2:22" ht="12.75" customHeight="1" x14ac:dyDescent="0.25">
      <c r="B20" s="2" t="s">
        <v>9</v>
      </c>
      <c r="C20" s="55">
        <f t="shared" si="7"/>
        <v>82756.722600331675</v>
      </c>
      <c r="D20" s="45">
        <v>78669.234533566007</v>
      </c>
      <c r="E20" s="8">
        <f t="shared" si="6"/>
        <v>4087.4880667656689</v>
      </c>
      <c r="F20" s="9">
        <f>-1+(C20/D20)</f>
        <v>5.1957898039819428E-2</v>
      </c>
      <c r="H20" s="45">
        <v>118621.8</v>
      </c>
      <c r="I20" s="45">
        <v>83654.525458707736</v>
      </c>
      <c r="J20" s="45">
        <v>66229.941337932396</v>
      </c>
      <c r="K20" s="45">
        <v>62430.770000000004</v>
      </c>
      <c r="L20" s="45">
        <v>42630.28</v>
      </c>
      <c r="M20" s="45">
        <v>41701.97</v>
      </c>
      <c r="N20" s="8">
        <v>41075.050000000003</v>
      </c>
      <c r="O20" s="8">
        <v>41938.61</v>
      </c>
      <c r="P20" s="25">
        <v>42591</v>
      </c>
      <c r="R20" s="32">
        <f>'State eml 4-1-22 Scott France'!W8</f>
        <v>13807.717075868768</v>
      </c>
      <c r="S20" s="32">
        <f>'State eml 4-1-22 Scott France'!W16</f>
        <v>68949.005524462904</v>
      </c>
      <c r="T20" s="32">
        <f t="shared" si="8"/>
        <v>82756.722600331675</v>
      </c>
    </row>
    <row r="21" spans="2:22" ht="12.75" customHeight="1" thickBot="1" x14ac:dyDescent="0.3">
      <c r="B21" s="2" t="s">
        <v>10</v>
      </c>
      <c r="C21" s="55">
        <f t="shared" si="7"/>
        <v>221777.87207351596</v>
      </c>
      <c r="D21" s="45">
        <v>288886.27413211728</v>
      </c>
      <c r="E21" s="8">
        <f t="shared" si="6"/>
        <v>-67108.402058601321</v>
      </c>
      <c r="F21" s="9">
        <f>-1+(C21/D21)</f>
        <v>-0.23230041738816021</v>
      </c>
      <c r="H21" s="45">
        <v>329419.3</v>
      </c>
      <c r="I21" s="45">
        <v>266830.71091649431</v>
      </c>
      <c r="J21" s="45">
        <v>230920.48112116518</v>
      </c>
      <c r="K21" s="45">
        <v>193496.62</v>
      </c>
      <c r="L21" s="45">
        <v>119387.44</v>
      </c>
      <c r="M21" s="45">
        <v>107288.06</v>
      </c>
      <c r="N21" s="8">
        <v>103558.48000000001</v>
      </c>
      <c r="O21" s="8">
        <v>110187.19</v>
      </c>
      <c r="P21" s="25">
        <v>128963</v>
      </c>
      <c r="R21" s="32">
        <f>'State eml 4-1-22 Scott France'!W9</f>
        <v>48667.61758714656</v>
      </c>
      <c r="S21" s="32">
        <f>'State eml 4-1-22 Scott France'!W17</f>
        <v>173110.25448636941</v>
      </c>
      <c r="T21" s="32">
        <f t="shared" si="8"/>
        <v>221777.87207351596</v>
      </c>
      <c r="V21" s="32"/>
    </row>
    <row r="22" spans="2:22" ht="12.75" customHeight="1" thickBot="1" x14ac:dyDescent="0.3">
      <c r="C22" s="56">
        <f>SUM(C18:C21)</f>
        <v>494026.2</v>
      </c>
      <c r="D22" s="45">
        <f>SUM(D18:D21)</f>
        <v>543139.92919719906</v>
      </c>
      <c r="E22" s="8">
        <f t="shared" si="6"/>
        <v>-49113.729197199049</v>
      </c>
      <c r="F22" s="9">
        <f>-1+(C22/D22)</f>
        <v>-9.0425554368268934E-2</v>
      </c>
      <c r="H22" s="45">
        <f>SUM(H18:H21)</f>
        <v>735667.6</v>
      </c>
      <c r="I22" s="45">
        <f>SUM(I18:I21)</f>
        <v>544735.41255711229</v>
      </c>
      <c r="J22" s="45">
        <f>SUM(J18:J21)</f>
        <v>453072.91070602159</v>
      </c>
      <c r="K22" s="45">
        <f t="shared" ref="K22:P22" si="9">SUM(K18:K21)</f>
        <v>416606</v>
      </c>
      <c r="L22" s="45">
        <f t="shared" si="9"/>
        <v>269314</v>
      </c>
      <c r="M22" s="45">
        <f t="shared" si="9"/>
        <v>241461</v>
      </c>
      <c r="N22" s="11">
        <f t="shared" si="9"/>
        <v>217186</v>
      </c>
      <c r="O22" s="11">
        <f t="shared" si="9"/>
        <v>218557</v>
      </c>
      <c r="P22" s="26">
        <f t="shared" si="9"/>
        <v>254065</v>
      </c>
      <c r="R22" s="120">
        <f>SUM(R18:R21)</f>
        <v>90334.800000000017</v>
      </c>
      <c r="S22" s="121">
        <f>SUM(S18:S21)</f>
        <v>403691.4</v>
      </c>
      <c r="T22" s="120">
        <f>SUM(T18:T21)</f>
        <v>494026.2</v>
      </c>
    </row>
    <row r="23" spans="2:22" ht="12.75" customHeight="1" x14ac:dyDescent="0.25">
      <c r="C23" s="32"/>
      <c r="D23" s="13"/>
      <c r="E23" s="13"/>
      <c r="F23" s="14"/>
      <c r="H23" s="13"/>
      <c r="I23" s="13"/>
      <c r="J23" s="13"/>
      <c r="K23" s="13"/>
      <c r="L23" s="13"/>
      <c r="M23" s="13"/>
      <c r="N23" s="13"/>
      <c r="O23" s="13"/>
      <c r="R23" s="32">
        <f>R22+R13</f>
        <v>100372.00000000001</v>
      </c>
      <c r="S23" s="32">
        <f>S22+S13</f>
        <v>448546</v>
      </c>
      <c r="T23" s="32"/>
    </row>
    <row r="24" spans="2:22" ht="12.75" customHeight="1" x14ac:dyDescent="0.25">
      <c r="C24" s="32"/>
      <c r="M24" s="32"/>
    </row>
    <row r="25" spans="2:22" ht="18.75" customHeight="1" thickBot="1" x14ac:dyDescent="0.35">
      <c r="B25" s="7" t="s">
        <v>69</v>
      </c>
      <c r="M25" s="32"/>
    </row>
    <row r="26" spans="2:22" ht="40.5" customHeight="1" thickBot="1" x14ac:dyDescent="0.35">
      <c r="B26" s="18" t="s">
        <v>3</v>
      </c>
      <c r="C26" s="43" t="str">
        <f>C7</f>
        <v>PY22 &amp; FY23 Actual</v>
      </c>
      <c r="D26" s="43" t="s">
        <v>144</v>
      </c>
      <c r="E26" s="24" t="s">
        <v>24</v>
      </c>
      <c r="F26" s="24" t="s">
        <v>23</v>
      </c>
      <c r="H26" s="43" t="str">
        <f>H7</f>
        <v>PY20 &amp; FY21 Actual</v>
      </c>
      <c r="I26" s="43" t="str">
        <f>I7</f>
        <v>PY19 &amp; FY20 Actual</v>
      </c>
      <c r="J26" s="43" t="str">
        <f>J7</f>
        <v>PY18 &amp; FY19 Actual</v>
      </c>
      <c r="K26" s="43" t="str">
        <f>K7</f>
        <v>PY17 &amp; FY18 Actual</v>
      </c>
      <c r="L26" s="43" t="s">
        <v>38</v>
      </c>
      <c r="M26" s="47" t="s">
        <v>37</v>
      </c>
      <c r="N26" s="42" t="s">
        <v>31</v>
      </c>
      <c r="O26" s="42" t="s">
        <v>34</v>
      </c>
      <c r="P26" s="42" t="s">
        <v>35</v>
      </c>
      <c r="R26" s="37" t="str">
        <f>R7</f>
        <v>PY22</v>
      </c>
      <c r="S26" s="102" t="str">
        <f>S7</f>
        <v>FY23</v>
      </c>
      <c r="T26" s="35" t="s">
        <v>87</v>
      </c>
    </row>
    <row r="27" spans="2:22" ht="12.75" customHeight="1" x14ac:dyDescent="0.25">
      <c r="B27" s="2" t="s">
        <v>7</v>
      </c>
      <c r="C27" s="55">
        <f t="shared" ref="C27:C31" si="10">T27</f>
        <v>4019.2102937779082</v>
      </c>
      <c r="D27" s="45">
        <v>4693.2429779624936</v>
      </c>
      <c r="E27" s="8">
        <f t="shared" ref="E27:E32" si="11">C27-D27</f>
        <v>-674.03268418458538</v>
      </c>
      <c r="F27" s="9">
        <f t="shared" ref="F27:F32" si="12">-1+(C27/D27)</f>
        <v>-0.14361768341199488</v>
      </c>
      <c r="H27" s="45">
        <v>9583.84</v>
      </c>
      <c r="I27" s="45">
        <v>7669.385815403326</v>
      </c>
      <c r="J27" s="45">
        <v>7554.1480692834621</v>
      </c>
      <c r="K27" s="45">
        <v>8622.4279999999999</v>
      </c>
      <c r="L27" s="45">
        <v>6979.96</v>
      </c>
      <c r="M27" s="31">
        <v>6776.4679999999998</v>
      </c>
      <c r="N27" s="8">
        <v>5304.4</v>
      </c>
      <c r="O27" s="8">
        <v>4807.5999999999995</v>
      </c>
      <c r="P27" s="25">
        <v>1270</v>
      </c>
      <c r="R27" s="32">
        <f>'State eml 4-1-22 Scott France'!Z6*0.4</f>
        <v>551.20265370436653</v>
      </c>
      <c r="S27" s="32">
        <f>'State eml 4-1-22 Scott France'!Z14*0.4</f>
        <v>3468.0076400735416</v>
      </c>
      <c r="T27" s="32">
        <f>R27+S27</f>
        <v>4019.2102937779082</v>
      </c>
    </row>
    <row r="28" spans="2:22" ht="12.75" customHeight="1" x14ac:dyDescent="0.25">
      <c r="B28" s="2" t="s">
        <v>8</v>
      </c>
      <c r="C28" s="55">
        <f t="shared" si="10"/>
        <v>2875.8036244622372</v>
      </c>
      <c r="D28" s="45">
        <v>3341.6025358691568</v>
      </c>
      <c r="E28" s="8">
        <f t="shared" si="11"/>
        <v>-465.79891140691961</v>
      </c>
      <c r="F28" s="9">
        <f t="shared" si="12"/>
        <v>-0.13939387057765817</v>
      </c>
      <c r="H28" s="45">
        <v>3880.56</v>
      </c>
      <c r="I28" s="45">
        <v>3757.5165682195448</v>
      </c>
      <c r="J28" s="45">
        <v>3908.0299431410194</v>
      </c>
      <c r="K28" s="45">
        <v>3691.6480000000001</v>
      </c>
      <c r="L28" s="45">
        <v>3044.95</v>
      </c>
      <c r="M28" s="31">
        <v>2736.0960000000005</v>
      </c>
      <c r="N28" s="8">
        <v>2617.1999999999998</v>
      </c>
      <c r="O28" s="8">
        <v>1628.8</v>
      </c>
      <c r="P28" s="25">
        <v>1837</v>
      </c>
      <c r="R28" s="32">
        <f>'State eml 4-1-22 Scott France'!Z7*0.4</f>
        <v>568.98867429441054</v>
      </c>
      <c r="S28" s="32">
        <f>'State eml 4-1-22 Scott France'!Z15*0.4</f>
        <v>2306.8149501678267</v>
      </c>
      <c r="T28" s="32">
        <f t="shared" ref="T28:T31" si="13">R28+S28</f>
        <v>2875.8036244622372</v>
      </c>
    </row>
    <row r="29" spans="2:22" ht="12.75" customHeight="1" x14ac:dyDescent="0.25">
      <c r="B29" s="2" t="s">
        <v>9</v>
      </c>
      <c r="C29" s="55">
        <f t="shared" si="10"/>
        <v>2899.4198246086576</v>
      </c>
      <c r="D29" s="45">
        <v>2967.3678637566964</v>
      </c>
      <c r="E29" s="8">
        <f t="shared" si="11"/>
        <v>-67.948039148038788</v>
      </c>
      <c r="F29" s="9">
        <f t="shared" si="12"/>
        <v>-2.2898421182608764E-2</v>
      </c>
      <c r="H29" s="45">
        <v>4412.12</v>
      </c>
      <c r="I29" s="45">
        <v>3767.2592348762428</v>
      </c>
      <c r="J29" s="45">
        <v>3338.778648922264</v>
      </c>
      <c r="K29" s="45">
        <v>3056.2640000000001</v>
      </c>
      <c r="L29" s="45">
        <v>2332.54</v>
      </c>
      <c r="M29" s="31">
        <v>2299.6760000000004</v>
      </c>
      <c r="N29" s="8">
        <v>2155.6</v>
      </c>
      <c r="O29" s="8">
        <v>1252.4000000000001</v>
      </c>
      <c r="P29" s="25">
        <v>1452</v>
      </c>
      <c r="R29" s="32">
        <f>'State eml 4-1-22 Scott France'!Z8*0.4</f>
        <v>435.99717423708091</v>
      </c>
      <c r="S29" s="32">
        <f>'State eml 4-1-22 Scott France'!Z16*0.4</f>
        <v>2463.4226503715768</v>
      </c>
      <c r="T29" s="32">
        <f t="shared" si="13"/>
        <v>2899.4198246086576</v>
      </c>
    </row>
    <row r="30" spans="2:22" ht="12.75" customHeight="1" x14ac:dyDescent="0.25">
      <c r="B30" s="2" t="s">
        <v>10</v>
      </c>
      <c r="C30" s="55">
        <f t="shared" si="10"/>
        <v>8259.2062571511979</v>
      </c>
      <c r="D30" s="45">
        <v>9232.1473693654243</v>
      </c>
      <c r="E30" s="8">
        <f t="shared" si="11"/>
        <v>-972.94111221422645</v>
      </c>
      <c r="F30" s="9">
        <f t="shared" si="12"/>
        <v>-0.10538621983469287</v>
      </c>
      <c r="H30" s="45">
        <v>8396.2000000000007</v>
      </c>
      <c r="I30" s="45">
        <v>9035.5374379610457</v>
      </c>
      <c r="J30" s="45">
        <v>9824.8361513837026</v>
      </c>
      <c r="K30" s="45">
        <v>7702.5</v>
      </c>
      <c r="L30" s="45">
        <v>6123.6900000000005</v>
      </c>
      <c r="M30" s="31">
        <v>5968.1600000000008</v>
      </c>
      <c r="N30" s="8">
        <v>4754</v>
      </c>
      <c r="O30" s="8">
        <v>2608</v>
      </c>
      <c r="P30" s="25">
        <v>4537</v>
      </c>
      <c r="R30" s="32">
        <f>'State eml 4-1-22 Scott France'!Z9*0.4</f>
        <v>2074.2914977641426</v>
      </c>
      <c r="S30" s="32">
        <f>'State eml 4-1-22 Scott France'!Z17*0.4</f>
        <v>6184.9147593870557</v>
      </c>
      <c r="T30" s="32">
        <f t="shared" si="13"/>
        <v>8259.2062571511979</v>
      </c>
    </row>
    <row r="31" spans="2:22" ht="12.75" customHeight="1" thickBot="1" x14ac:dyDescent="0.3">
      <c r="B31" s="2" t="s">
        <v>11</v>
      </c>
      <c r="C31" s="55">
        <f t="shared" si="10"/>
        <v>27080.460000000003</v>
      </c>
      <c r="D31" s="45">
        <v>30351.541120430658</v>
      </c>
      <c r="E31" s="8">
        <f t="shared" si="11"/>
        <v>-3271.0811204306556</v>
      </c>
      <c r="F31" s="9">
        <f t="shared" si="12"/>
        <v>-0.10777314757927658</v>
      </c>
      <c r="H31" s="45">
        <v>39409.079999999994</v>
      </c>
      <c r="I31" s="45">
        <v>36344.548584690237</v>
      </c>
      <c r="J31" s="45">
        <v>36938.689219095671</v>
      </c>
      <c r="K31" s="45">
        <v>34610.160000000003</v>
      </c>
      <c r="L31" s="45">
        <v>27718.86</v>
      </c>
      <c r="M31" s="31">
        <v>26670.6</v>
      </c>
      <c r="N31" s="8">
        <v>22249.8</v>
      </c>
      <c r="O31" s="8">
        <v>15445.2</v>
      </c>
      <c r="P31" s="25">
        <v>13644</v>
      </c>
      <c r="R31" s="32">
        <f>'State eml 4-1-22 Scott France'!Z10*0.6</f>
        <v>5445.72</v>
      </c>
      <c r="S31" s="32">
        <f>'State eml 4-1-22 Scott France'!Z18*0.6</f>
        <v>21634.74</v>
      </c>
      <c r="T31" s="32">
        <f t="shared" si="13"/>
        <v>27080.460000000003</v>
      </c>
      <c r="V31" s="32">
        <f>T31-R32+1</f>
        <v>18005.260000000002</v>
      </c>
    </row>
    <row r="32" spans="2:22" ht="12.75" customHeight="1" thickBot="1" x14ac:dyDescent="0.3">
      <c r="C32" s="56">
        <f>SUM(C27:C31)</f>
        <v>45134.100000000006</v>
      </c>
      <c r="D32" s="45">
        <f>SUM(D27:D31)</f>
        <v>50585.901867384426</v>
      </c>
      <c r="E32" s="8">
        <f t="shared" si="11"/>
        <v>-5451.8018673844199</v>
      </c>
      <c r="F32" s="9">
        <f t="shared" si="12"/>
        <v>-0.10777314757927647</v>
      </c>
      <c r="H32" s="45">
        <f>SUM(H27:H31)</f>
        <v>65681.799999999988</v>
      </c>
      <c r="I32" s="45">
        <f>SUM(I27:I31)</f>
        <v>60574.247641150396</v>
      </c>
      <c r="J32" s="45">
        <f>SUM(J27:J31)</f>
        <v>61564.482031826119</v>
      </c>
      <c r="K32" s="45">
        <f t="shared" ref="K32:P32" si="14">SUM(K27:K31)</f>
        <v>57683</v>
      </c>
      <c r="L32" s="45">
        <f t="shared" si="14"/>
        <v>46200</v>
      </c>
      <c r="M32" s="31">
        <f t="shared" si="14"/>
        <v>44451</v>
      </c>
      <c r="N32" s="11">
        <f t="shared" si="14"/>
        <v>37081</v>
      </c>
      <c r="O32" s="11">
        <f t="shared" si="14"/>
        <v>25742</v>
      </c>
      <c r="P32" s="26">
        <f t="shared" si="14"/>
        <v>22740</v>
      </c>
      <c r="R32" s="118">
        <f t="shared" ref="R32:S32" si="15">SUM(R27:R31)</f>
        <v>9076.2000000000007</v>
      </c>
      <c r="S32" s="119">
        <f t="shared" si="15"/>
        <v>36057.9</v>
      </c>
      <c r="T32" s="118">
        <f>SUM(T27:T31)</f>
        <v>45134.100000000006</v>
      </c>
    </row>
    <row r="33" spans="2:20" ht="12.75" customHeight="1" x14ac:dyDescent="0.25">
      <c r="C33" s="32"/>
      <c r="E33" s="13"/>
      <c r="F33" s="14"/>
      <c r="M33" s="32"/>
      <c r="N33" s="13"/>
      <c r="O33" s="13"/>
      <c r="R33" s="32"/>
      <c r="S33" s="107"/>
      <c r="T33" s="32"/>
    </row>
    <row r="34" spans="2:20" ht="12.75" customHeight="1" x14ac:dyDescent="0.25">
      <c r="C34" s="32"/>
      <c r="E34" s="13"/>
      <c r="F34" s="14"/>
      <c r="M34" s="32"/>
      <c r="N34" s="13"/>
      <c r="O34" s="13"/>
      <c r="R34" s="96"/>
    </row>
    <row r="35" spans="2:20" ht="18" customHeight="1" thickBot="1" x14ac:dyDescent="0.35">
      <c r="B35" s="7" t="s">
        <v>18</v>
      </c>
      <c r="M35" s="32"/>
    </row>
    <row r="36" spans="2:20" ht="40.5" customHeight="1" thickBot="1" x14ac:dyDescent="0.35">
      <c r="B36" s="18" t="s">
        <v>3</v>
      </c>
      <c r="C36" s="43" t="str">
        <f>C7</f>
        <v>PY22 &amp; FY23 Actual</v>
      </c>
      <c r="D36" s="43" t="s">
        <v>144</v>
      </c>
      <c r="E36" s="24" t="s">
        <v>24</v>
      </c>
      <c r="F36" s="24" t="s">
        <v>23</v>
      </c>
      <c r="H36" s="43" t="str">
        <f>H7</f>
        <v>PY20 &amp; FY21 Actual</v>
      </c>
      <c r="I36" s="43" t="str">
        <f>I7</f>
        <v>PY19 &amp; FY20 Actual</v>
      </c>
      <c r="J36" s="43" t="str">
        <f>J7</f>
        <v>PY18 &amp; FY19 Actual</v>
      </c>
      <c r="K36" s="43" t="str">
        <f>K7</f>
        <v>PY17 &amp; FY18 Actual</v>
      </c>
      <c r="L36" s="43" t="s">
        <v>38</v>
      </c>
      <c r="M36" s="47" t="s">
        <v>37</v>
      </c>
      <c r="N36" s="42" t="s">
        <v>31</v>
      </c>
      <c r="O36" s="42" t="s">
        <v>34</v>
      </c>
      <c r="P36" s="42" t="s">
        <v>35</v>
      </c>
      <c r="R36" s="37" t="str">
        <f>R26</f>
        <v>PY22</v>
      </c>
      <c r="S36" s="102" t="str">
        <f>S26</f>
        <v>FY23</v>
      </c>
      <c r="T36" s="35" t="s">
        <v>87</v>
      </c>
    </row>
    <row r="37" spans="2:20" ht="12.75" customHeight="1" x14ac:dyDescent="0.25">
      <c r="B37" s="2" t="s">
        <v>7</v>
      </c>
      <c r="C37" s="55">
        <f t="shared" ref="C37:C40" si="16">T37</f>
        <v>90432.231610002942</v>
      </c>
      <c r="D37" s="45">
        <v>105598.96700415612</v>
      </c>
      <c r="E37" s="8">
        <f>C37-D37</f>
        <v>-15166.735394153176</v>
      </c>
      <c r="F37" s="9">
        <f>-1+(C37/D37)</f>
        <v>-0.14362579317235413</v>
      </c>
      <c r="H37" s="45">
        <v>215636.40000000002</v>
      </c>
      <c r="I37" s="45">
        <v>172561.18084657483</v>
      </c>
      <c r="J37" s="45">
        <v>169968.33155887789</v>
      </c>
      <c r="K37" s="45">
        <v>194000.71000000002</v>
      </c>
      <c r="L37" s="45">
        <v>157036.51</v>
      </c>
      <c r="M37" s="31">
        <v>152464.54999999999</v>
      </c>
      <c r="N37" s="8">
        <v>119359</v>
      </c>
      <c r="O37" s="8">
        <v>108168</v>
      </c>
      <c r="P37" s="25">
        <v>28583</v>
      </c>
      <c r="R37" s="32">
        <f>'State eml 4-1-22 Scott France'!Y6</f>
        <v>12402.059708348244</v>
      </c>
      <c r="S37" s="32">
        <f>'State eml 4-1-22 Scott France'!Y14</f>
        <v>78030.171901654699</v>
      </c>
      <c r="T37" s="32">
        <f>R37+S37</f>
        <v>90432.231610002942</v>
      </c>
    </row>
    <row r="38" spans="2:20" ht="12.75" customHeight="1" x14ac:dyDescent="0.25">
      <c r="B38" s="2" t="s">
        <v>8</v>
      </c>
      <c r="C38" s="55">
        <f t="shared" si="16"/>
        <v>64705.58155040034</v>
      </c>
      <c r="D38" s="45">
        <v>75186.057057056038</v>
      </c>
      <c r="E38" s="8">
        <f>C38-D38</f>
        <v>-10480.475506655697</v>
      </c>
      <c r="F38" s="9">
        <f>-1+(C38/D38)</f>
        <v>-0.13939387057765829</v>
      </c>
      <c r="H38" s="45">
        <v>87312.599999999991</v>
      </c>
      <c r="I38" s="45">
        <v>84544.122784939755</v>
      </c>
      <c r="J38" s="45">
        <v>87930.67372067293</v>
      </c>
      <c r="K38" s="45">
        <v>83063.359999999986</v>
      </c>
      <c r="L38" s="45">
        <v>68508.66</v>
      </c>
      <c r="M38" s="31">
        <v>61567.9</v>
      </c>
      <c r="N38" s="8">
        <v>58892</v>
      </c>
      <c r="O38" s="8">
        <v>36638</v>
      </c>
      <c r="P38" s="25">
        <v>41330</v>
      </c>
      <c r="R38" s="32">
        <f>'State eml 4-1-22 Scott France'!Y7</f>
        <v>12802.245171624236</v>
      </c>
      <c r="S38" s="32">
        <f>'State eml 4-1-22 Scott France'!Y15</f>
        <v>51903.336378776105</v>
      </c>
      <c r="T38" s="32">
        <f t="shared" ref="T38:T40" si="17">R38+S38</f>
        <v>64705.58155040034</v>
      </c>
    </row>
    <row r="39" spans="2:20" ht="12.75" customHeight="1" x14ac:dyDescent="0.25">
      <c r="B39" s="2" t="s">
        <v>9</v>
      </c>
      <c r="C39" s="55">
        <f t="shared" si="16"/>
        <v>65236.946053694803</v>
      </c>
      <c r="D39" s="45">
        <v>66765.776934525667</v>
      </c>
      <c r="E39" s="8">
        <f>C39-D39</f>
        <v>-1528.8308808308648</v>
      </c>
      <c r="F39" s="9">
        <f>-1+(C39/D39)</f>
        <v>-2.2898421182608653E-2</v>
      </c>
      <c r="H39" s="45">
        <v>99272.700000000012</v>
      </c>
      <c r="I39" s="45">
        <v>84763.332784715458</v>
      </c>
      <c r="J39" s="45">
        <v>75122.519600750951</v>
      </c>
      <c r="K39" s="45">
        <v>68763.22</v>
      </c>
      <c r="L39" s="45">
        <v>52464.71</v>
      </c>
      <c r="M39" s="31">
        <v>51740.75</v>
      </c>
      <c r="N39" s="8">
        <v>48509</v>
      </c>
      <c r="O39" s="8">
        <v>28172</v>
      </c>
      <c r="P39" s="25">
        <v>32670</v>
      </c>
      <c r="R39" s="32">
        <f>'State eml 4-1-22 Scott France'!Y8</f>
        <v>9809.9364203343193</v>
      </c>
      <c r="S39" s="32">
        <f>'State eml 4-1-22 Scott France'!Y16</f>
        <v>55427.009633360482</v>
      </c>
      <c r="T39" s="32">
        <f t="shared" si="17"/>
        <v>65236.946053694803</v>
      </c>
    </row>
    <row r="40" spans="2:20" ht="12.75" customHeight="1" thickBot="1" x14ac:dyDescent="0.3">
      <c r="B40" s="2" t="s">
        <v>10</v>
      </c>
      <c r="C40" s="55">
        <f t="shared" si="16"/>
        <v>185833.14078590198</v>
      </c>
      <c r="D40" s="45">
        <v>207722.31581072207</v>
      </c>
      <c r="E40" s="46">
        <f>C40-D40</f>
        <v>-21889.175024820084</v>
      </c>
      <c r="F40" s="9">
        <f>-1+(C40/D40)</f>
        <v>-0.10537709893801517</v>
      </c>
      <c r="H40" s="45">
        <v>188914</v>
      </c>
      <c r="I40" s="45">
        <v>203299.59235412348</v>
      </c>
      <c r="J40" s="45">
        <v>221058.8134061333</v>
      </c>
      <c r="K40" s="45">
        <v>173301.71</v>
      </c>
      <c r="L40" s="45">
        <v>137771.12</v>
      </c>
      <c r="M40" s="50">
        <v>134289.79999999999</v>
      </c>
      <c r="N40" s="8">
        <v>106973</v>
      </c>
      <c r="O40" s="8">
        <v>58678</v>
      </c>
      <c r="P40" s="25">
        <v>102070</v>
      </c>
      <c r="R40" s="32">
        <f>'State eml 4-1-22 Scott France'!Y9</f>
        <v>46671.558699693196</v>
      </c>
      <c r="S40" s="32">
        <f>'State eml 4-1-22 Scott France'!Y17+1</f>
        <v>139161.58208620877</v>
      </c>
      <c r="T40" s="32">
        <f t="shared" si="17"/>
        <v>185833.14078590198</v>
      </c>
    </row>
    <row r="41" spans="2:20" ht="12.75" customHeight="1" thickBot="1" x14ac:dyDescent="0.3">
      <c r="C41" s="56">
        <f>SUM(C37:C40)</f>
        <v>406207.90000000008</v>
      </c>
      <c r="D41" s="45">
        <f>SUM(D37:D40)</f>
        <v>455273.11680645985</v>
      </c>
      <c r="E41" s="45">
        <f t="shared" ref="E41" si="18">SUM(E37:E40)</f>
        <v>-49065.216806459823</v>
      </c>
      <c r="F41" s="39">
        <f>-1+(C41/D41)</f>
        <v>-0.10777095109553281</v>
      </c>
      <c r="H41" s="45">
        <f>SUM(H37:H40)</f>
        <v>591135.69999999995</v>
      </c>
      <c r="I41" s="45">
        <f>SUM(I37:I40)</f>
        <v>545168.2287703536</v>
      </c>
      <c r="J41" s="45">
        <f>SUM(J37:J40)</f>
        <v>554080.33828643512</v>
      </c>
      <c r="K41" s="45">
        <f>SUM(K37:K40)</f>
        <v>519129</v>
      </c>
      <c r="L41" s="45">
        <f>SUM(L37:L40)</f>
        <v>415781</v>
      </c>
      <c r="M41" s="31">
        <f t="shared" ref="M41" si="19">SUM(M37:M40)</f>
        <v>400062.99999999994</v>
      </c>
      <c r="N41" s="11">
        <f>SUM(N37:N40)</f>
        <v>333733</v>
      </c>
      <c r="O41" s="11">
        <f>SUM(O37:O40)</f>
        <v>231656</v>
      </c>
      <c r="P41" s="26">
        <f>SUM(P37:P40)</f>
        <v>204653</v>
      </c>
      <c r="R41" s="120">
        <f>SUM(R37:R40)</f>
        <v>81685.799999999988</v>
      </c>
      <c r="S41" s="121">
        <f>SUM(S37:S40)</f>
        <v>324522.10000000009</v>
      </c>
      <c r="T41" s="120">
        <f>SUM(T37:T40)</f>
        <v>406207.90000000008</v>
      </c>
    </row>
    <row r="42" spans="2:20" ht="12.75" customHeight="1" x14ac:dyDescent="0.25">
      <c r="C42" s="32"/>
      <c r="D42" s="13"/>
      <c r="E42" s="13"/>
      <c r="F42" s="14"/>
      <c r="H42" s="13"/>
      <c r="I42" s="13"/>
      <c r="J42" s="13"/>
      <c r="K42" s="13"/>
      <c r="L42" s="13"/>
      <c r="M42" s="32"/>
      <c r="N42" s="13"/>
      <c r="O42" s="13"/>
      <c r="R42" s="32">
        <f>R41+R32</f>
        <v>90761.999999999985</v>
      </c>
      <c r="S42" s="32">
        <f>S41+S32</f>
        <v>360580.00000000012</v>
      </c>
      <c r="T42" s="32"/>
    </row>
    <row r="43" spans="2:20" ht="12.75" customHeight="1" x14ac:dyDescent="0.25">
      <c r="C43" s="32"/>
      <c r="M43" s="32"/>
    </row>
    <row r="44" spans="2:20" ht="12.75" hidden="1" customHeight="1" x14ac:dyDescent="0.25">
      <c r="C44" s="32"/>
      <c r="M44" s="32"/>
    </row>
    <row r="45" spans="2:20" ht="12.75" hidden="1" customHeight="1" x14ac:dyDescent="0.25">
      <c r="C45" s="32"/>
      <c r="M45" s="32"/>
    </row>
    <row r="46" spans="2:20" ht="17.25" customHeight="1" x14ac:dyDescent="0.3">
      <c r="B46" s="7" t="s">
        <v>70</v>
      </c>
      <c r="C46" s="32"/>
      <c r="M46" s="32"/>
    </row>
    <row r="47" spans="2:20" ht="12.75" customHeight="1" x14ac:dyDescent="0.25">
      <c r="B47" s="18" t="s">
        <v>3</v>
      </c>
      <c r="C47" s="51" t="s">
        <v>164</v>
      </c>
      <c r="D47" s="51" t="s">
        <v>145</v>
      </c>
      <c r="E47" s="24" t="s">
        <v>24</v>
      </c>
      <c r="F47" s="24" t="s">
        <v>23</v>
      </c>
      <c r="H47" s="51" t="s">
        <v>134</v>
      </c>
      <c r="I47" s="51" t="s">
        <v>111</v>
      </c>
      <c r="J47" s="51" t="s">
        <v>135</v>
      </c>
      <c r="K47" s="51" t="s">
        <v>43</v>
      </c>
      <c r="L47" s="51" t="s">
        <v>36</v>
      </c>
      <c r="M47" s="51" t="s">
        <v>136</v>
      </c>
      <c r="N47" s="36" t="s">
        <v>137</v>
      </c>
      <c r="O47" s="36" t="s">
        <v>138</v>
      </c>
      <c r="P47" s="33" t="s">
        <v>21</v>
      </c>
      <c r="S47" s="107"/>
    </row>
    <row r="48" spans="2:20" ht="12.75" customHeight="1" x14ac:dyDescent="0.25">
      <c r="B48" s="2" t="s">
        <v>7</v>
      </c>
      <c r="C48" s="30">
        <f>'State eml 4-1-22 Scott France'!AB6*0.4</f>
        <v>3432.1447447439105</v>
      </c>
      <c r="D48" s="30">
        <v>3910.4184725694954</v>
      </c>
      <c r="E48" s="8">
        <f t="shared" ref="E48:E53" si="20">C48-D48</f>
        <v>-478.27372782558496</v>
      </c>
      <c r="F48" s="9">
        <f t="shared" ref="F48:F53" si="21">-1+(C48/D48)</f>
        <v>-0.12230755638572777</v>
      </c>
      <c r="H48" s="30">
        <v>7997.72</v>
      </c>
      <c r="I48" s="30">
        <v>4921.2379251626808</v>
      </c>
      <c r="J48" s="30">
        <v>3853.2622609954697</v>
      </c>
      <c r="K48" s="30">
        <v>4253.3999999999996</v>
      </c>
      <c r="L48" s="30">
        <v>2799.01</v>
      </c>
      <c r="M48" s="30">
        <v>2190.2959999999998</v>
      </c>
      <c r="N48" s="8">
        <v>1442.6440000000002</v>
      </c>
      <c r="O48" s="8">
        <v>1293.8320000000001</v>
      </c>
      <c r="P48" s="29">
        <v>2036</v>
      </c>
      <c r="S48" s="107"/>
    </row>
    <row r="49" spans="2:19" ht="12.75" customHeight="1" x14ac:dyDescent="0.25">
      <c r="B49" s="2" t="s">
        <v>8</v>
      </c>
      <c r="C49" s="30">
        <f>'State eml 4-1-22 Scott France'!AB7*0.4</f>
        <v>3542.8920292277166</v>
      </c>
      <c r="D49" s="30">
        <v>4114.3777660585465</v>
      </c>
      <c r="E49" s="8">
        <f t="shared" si="20"/>
        <v>-571.48573683082986</v>
      </c>
      <c r="F49" s="9">
        <f t="shared" si="21"/>
        <v>-0.13889967555854665</v>
      </c>
      <c r="H49" s="30">
        <v>5278.68</v>
      </c>
      <c r="I49" s="30">
        <v>3940.7546689156206</v>
      </c>
      <c r="J49" s="30">
        <v>3248.1932610225649</v>
      </c>
      <c r="K49" s="30">
        <v>3147.7200000000003</v>
      </c>
      <c r="L49" s="30">
        <v>2080.59</v>
      </c>
      <c r="M49" s="30">
        <v>1943.5160000000001</v>
      </c>
      <c r="N49" s="8">
        <v>1759.3200000000002</v>
      </c>
      <c r="O49" s="8">
        <v>1737.36</v>
      </c>
      <c r="P49" s="30">
        <v>2688</v>
      </c>
      <c r="S49" s="107"/>
    </row>
    <row r="50" spans="2:19" ht="12.75" customHeight="1" x14ac:dyDescent="0.25">
      <c r="B50" s="2" t="s">
        <v>9</v>
      </c>
      <c r="C50" s="30">
        <f>'State eml 4-1-22 Scott France'!AB8*0.4</f>
        <v>2714.8008091477341</v>
      </c>
      <c r="D50" s="30">
        <v>2840.1259390385612</v>
      </c>
      <c r="E50" s="8">
        <f t="shared" si="20"/>
        <v>-125.32512989082716</v>
      </c>
      <c r="F50" s="9">
        <f t="shared" si="21"/>
        <v>-4.4126610080274187E-2</v>
      </c>
      <c r="H50" s="30">
        <v>5019.5600000000004</v>
      </c>
      <c r="I50" s="30">
        <v>3371.3087341660712</v>
      </c>
      <c r="J50" s="30">
        <v>2636.2756834755978</v>
      </c>
      <c r="K50" s="30">
        <v>2567.08</v>
      </c>
      <c r="L50" s="30">
        <v>1596.86</v>
      </c>
      <c r="M50" s="30">
        <v>1481.4960000000001</v>
      </c>
      <c r="N50" s="8">
        <v>1488.2280000000001</v>
      </c>
      <c r="O50" s="8">
        <v>1584.924</v>
      </c>
      <c r="P50" s="30">
        <v>1915</v>
      </c>
      <c r="S50" s="107"/>
    </row>
    <row r="51" spans="2:19" ht="12.75" customHeight="1" x14ac:dyDescent="0.25">
      <c r="B51" s="2" t="s">
        <v>10</v>
      </c>
      <c r="C51" s="30">
        <f>'State eml 4-1-22 Scott France'!AB9*0.4-1</f>
        <v>12914.88241688064</v>
      </c>
      <c r="D51" s="30">
        <v>13843.177083049515</v>
      </c>
      <c r="E51" s="8">
        <f t="shared" si="20"/>
        <v>-928.29466616887476</v>
      </c>
      <c r="F51" s="9">
        <f t="shared" si="21"/>
        <v>-6.7057920345867661E-2</v>
      </c>
      <c r="H51" s="30">
        <v>15374.48</v>
      </c>
      <c r="I51" s="30">
        <v>12433.9576300176</v>
      </c>
      <c r="J51" s="30">
        <v>10775.808739940587</v>
      </c>
      <c r="K51" s="30">
        <v>8923.56</v>
      </c>
      <c r="L51" s="30">
        <v>5418.14</v>
      </c>
      <c r="M51" s="30">
        <v>4796.2920000000004</v>
      </c>
      <c r="N51" s="8">
        <v>4646.2080000000005</v>
      </c>
      <c r="O51" s="8">
        <v>5179.0839999999998</v>
      </c>
      <c r="P51" s="30">
        <v>5158</v>
      </c>
    </row>
    <row r="52" spans="2:19" ht="12.75" customHeight="1" thickBot="1" x14ac:dyDescent="0.3">
      <c r="B52" s="2" t="s">
        <v>11</v>
      </c>
      <c r="C52" s="30">
        <f>'State eml 4-1-22 Scott France'!AB10*0.6</f>
        <v>33908.58</v>
      </c>
      <c r="D52" s="30">
        <v>37062.148891074175</v>
      </c>
      <c r="E52" s="8">
        <f t="shared" si="20"/>
        <v>-3153.5688910741737</v>
      </c>
      <c r="F52" s="9">
        <f t="shared" si="21"/>
        <v>-8.5088668235145382E-2</v>
      </c>
      <c r="H52" s="30">
        <v>50505.659999999996</v>
      </c>
      <c r="I52" s="52">
        <v>37000.888437392954</v>
      </c>
      <c r="J52" s="52">
        <v>30770.309918151328</v>
      </c>
      <c r="K52" s="52">
        <v>28337.239999999998</v>
      </c>
      <c r="L52" s="30">
        <v>17843.399999999998</v>
      </c>
      <c r="M52" s="52">
        <v>15617.4</v>
      </c>
      <c r="N52" s="8">
        <v>14004.6</v>
      </c>
      <c r="O52" s="8">
        <v>14692.8</v>
      </c>
      <c r="P52" s="30">
        <v>17696</v>
      </c>
    </row>
    <row r="53" spans="2:19" ht="12.75" customHeight="1" thickBot="1" x14ac:dyDescent="0.3">
      <c r="C53" s="56">
        <f>SUM(C48:C52)+1</f>
        <v>56514.3</v>
      </c>
      <c r="D53" s="11">
        <f>SUM(D48:D52)</f>
        <v>61770.248151790292</v>
      </c>
      <c r="E53" s="11">
        <f t="shared" si="20"/>
        <v>-5255.9481517902896</v>
      </c>
      <c r="F53" s="9">
        <f t="shared" si="21"/>
        <v>-8.5088668235145382E-2</v>
      </c>
      <c r="H53" s="11">
        <f>SUM(H48:H52)</f>
        <v>84176.1</v>
      </c>
      <c r="I53" s="45">
        <f>SUM(I48:I52)</f>
        <v>61668.147395654923</v>
      </c>
      <c r="J53" s="45">
        <f t="shared" ref="J53:O53" si="22">SUM(J48:J52)</f>
        <v>51283.84986358555</v>
      </c>
      <c r="K53" s="31">
        <f t="shared" si="22"/>
        <v>47229</v>
      </c>
      <c r="L53" s="11">
        <f t="shared" si="22"/>
        <v>29738</v>
      </c>
      <c r="M53" s="31">
        <f t="shared" si="22"/>
        <v>26029</v>
      </c>
      <c r="N53" s="11">
        <f t="shared" si="22"/>
        <v>23341</v>
      </c>
      <c r="O53" s="11">
        <f t="shared" si="22"/>
        <v>24488</v>
      </c>
      <c r="P53" s="31">
        <v>29493</v>
      </c>
    </row>
    <row r="54" spans="2:19" ht="12.75" customHeight="1" x14ac:dyDescent="0.25">
      <c r="C54" s="32"/>
      <c r="D54" s="32"/>
      <c r="H54" s="32"/>
      <c r="I54" s="32"/>
      <c r="J54" s="32"/>
      <c r="K54" s="32"/>
      <c r="L54" s="32"/>
      <c r="M54" s="32"/>
      <c r="P54" s="32"/>
    </row>
    <row r="55" spans="2:19" ht="12.75" customHeight="1" x14ac:dyDescent="0.25">
      <c r="C55" s="32"/>
      <c r="D55" s="32"/>
      <c r="H55" s="32"/>
      <c r="I55" s="32"/>
      <c r="J55" s="32"/>
      <c r="K55" s="32"/>
      <c r="L55" s="32"/>
      <c r="M55" s="32"/>
      <c r="P55" s="32"/>
    </row>
    <row r="56" spans="2:19" ht="12.75" customHeight="1" x14ac:dyDescent="0.3">
      <c r="B56" s="7" t="s">
        <v>71</v>
      </c>
      <c r="C56" s="32"/>
      <c r="D56" s="32"/>
      <c r="H56" s="32"/>
      <c r="I56" s="32"/>
      <c r="J56" s="32"/>
      <c r="K56" s="32"/>
      <c r="L56" s="32"/>
      <c r="M56" s="32"/>
      <c r="P56" s="32"/>
    </row>
    <row r="57" spans="2:19" ht="12.75" customHeight="1" x14ac:dyDescent="0.25">
      <c r="B57" s="18" t="s">
        <v>3</v>
      </c>
      <c r="C57" s="51" t="str">
        <f>C47</f>
        <v>PY 22</v>
      </c>
      <c r="D57" s="51" t="s">
        <v>145</v>
      </c>
      <c r="E57" s="24" t="s">
        <v>24</v>
      </c>
      <c r="F57" s="24" t="s">
        <v>23</v>
      </c>
      <c r="H57" s="51" t="str">
        <f>H47</f>
        <v>PY 20</v>
      </c>
      <c r="I57" s="51" t="str">
        <f>I47</f>
        <v xml:space="preserve">PY19 </v>
      </c>
      <c r="J57" s="51" t="str">
        <f t="shared" ref="J57:O57" si="23">J47</f>
        <v xml:space="preserve">PY18 </v>
      </c>
      <c r="K57" s="51" t="str">
        <f t="shared" si="23"/>
        <v>PY17 Final</v>
      </c>
      <c r="L57" s="51" t="str">
        <f t="shared" si="23"/>
        <v>PY16 Final</v>
      </c>
      <c r="M57" s="51" t="str">
        <f t="shared" si="23"/>
        <v xml:space="preserve">PY15 </v>
      </c>
      <c r="N57" s="28" t="str">
        <f t="shared" si="23"/>
        <v>PY14</v>
      </c>
      <c r="O57" s="36" t="str">
        <f t="shared" si="23"/>
        <v>PY13</v>
      </c>
      <c r="P57" s="33" t="s">
        <v>21</v>
      </c>
    </row>
    <row r="58" spans="2:19" ht="12.75" customHeight="1" x14ac:dyDescent="0.25">
      <c r="B58" s="2" t="s">
        <v>7</v>
      </c>
      <c r="C58" s="30">
        <f>'State eml 4-1-22 Scott France'!AA6</f>
        <v>77223.256756737974</v>
      </c>
      <c r="D58" s="30">
        <v>87984.415632813645</v>
      </c>
      <c r="E58" s="8">
        <f>C58-D58</f>
        <v>-10761.158876075671</v>
      </c>
      <c r="F58" s="9">
        <f>-1+(C58/D58)</f>
        <v>-0.12230755638572788</v>
      </c>
      <c r="H58" s="30">
        <v>179948.7</v>
      </c>
      <c r="I58" s="30">
        <v>110727.85331616033</v>
      </c>
      <c r="J58" s="30">
        <v>86698.400872398066</v>
      </c>
      <c r="K58" s="30">
        <v>95701.39</v>
      </c>
      <c r="L58" s="30">
        <v>62977.34</v>
      </c>
      <c r="M58" s="30">
        <v>49275.12</v>
      </c>
      <c r="N58" s="8">
        <v>32458.95</v>
      </c>
      <c r="O58" s="8">
        <v>29111.09</v>
      </c>
      <c r="P58" s="29">
        <v>45806</v>
      </c>
    </row>
    <row r="59" spans="2:19" ht="12.75" customHeight="1" x14ac:dyDescent="0.25">
      <c r="B59" s="2" t="s">
        <v>8</v>
      </c>
      <c r="C59" s="30">
        <f>'State eml 4-1-22 Scott France'!AA7</f>
        <v>79715.070657623626</v>
      </c>
      <c r="D59" s="30">
        <v>92573.499736317288</v>
      </c>
      <c r="E59" s="8">
        <f>C59-D59</f>
        <v>-12858.429078693662</v>
      </c>
      <c r="F59" s="9">
        <f>-1+(C59/D59)</f>
        <v>-0.13889967555854654</v>
      </c>
      <c r="H59" s="30">
        <v>118770.3</v>
      </c>
      <c r="I59" s="30">
        <v>88666.980050601458</v>
      </c>
      <c r="J59" s="30">
        <v>73084.348373007713</v>
      </c>
      <c r="K59" s="30">
        <v>70823.56</v>
      </c>
      <c r="L59" s="30">
        <v>46824.45</v>
      </c>
      <c r="M59" s="30">
        <v>43728.45</v>
      </c>
      <c r="N59" s="8">
        <v>39584.300000000003</v>
      </c>
      <c r="O59" s="8">
        <v>39091.47</v>
      </c>
      <c r="P59" s="30">
        <v>60495</v>
      </c>
    </row>
    <row r="60" spans="2:19" ht="12.75" customHeight="1" x14ac:dyDescent="0.25">
      <c r="B60" s="2" t="s">
        <v>9</v>
      </c>
      <c r="C60" s="30">
        <f>'State eml 4-1-22 Scott France'!AA8</f>
        <v>61083.01820582401</v>
      </c>
      <c r="D60" s="30">
        <v>63903.833628367625</v>
      </c>
      <c r="E60" s="8">
        <f>C60-D60</f>
        <v>-2820.8154225436156</v>
      </c>
      <c r="F60" s="9">
        <f>-1+(C60/D60)</f>
        <v>-4.4141568077872284E-2</v>
      </c>
      <c r="H60" s="30">
        <v>112940.1</v>
      </c>
      <c r="I60" s="30">
        <v>75854.4465187366</v>
      </c>
      <c r="J60" s="30">
        <v>59316.202878200951</v>
      </c>
      <c r="K60" s="30">
        <v>57759.56</v>
      </c>
      <c r="L60" s="30">
        <v>35937.519999999997</v>
      </c>
      <c r="M60" s="30">
        <v>33333.94</v>
      </c>
      <c r="N60" s="8">
        <v>33483.57</v>
      </c>
      <c r="O60" s="8">
        <v>35659.57</v>
      </c>
      <c r="P60" s="30">
        <v>43091</v>
      </c>
    </row>
    <row r="61" spans="2:19" ht="13.8" thickBot="1" x14ac:dyDescent="0.3">
      <c r="B61" s="2" t="s">
        <v>10</v>
      </c>
      <c r="C61" s="30">
        <f>'State eml 4-1-22 Scott France'!AA9+1</f>
        <v>290608.35437981441</v>
      </c>
      <c r="D61" s="52">
        <v>311471.4843686141</v>
      </c>
      <c r="E61" s="8">
        <f>C61-D61</f>
        <v>-20863.129988799687</v>
      </c>
      <c r="F61" s="9">
        <f>-1+(C61/D61)</f>
        <v>-6.6982472026585249E-2</v>
      </c>
      <c r="H61" s="52">
        <v>345925.8</v>
      </c>
      <c r="I61" s="52">
        <v>279764.04667539604</v>
      </c>
      <c r="J61" s="52">
        <v>242455.6966486632</v>
      </c>
      <c r="K61" s="52">
        <v>200779.49</v>
      </c>
      <c r="L61" s="52">
        <v>121913.69</v>
      </c>
      <c r="M61" s="52">
        <v>107921.49</v>
      </c>
      <c r="N61" s="8">
        <v>104539.18</v>
      </c>
      <c r="O61" s="8">
        <v>116527.87</v>
      </c>
      <c r="P61" s="30">
        <v>116044</v>
      </c>
    </row>
    <row r="62" spans="2:19" ht="13.8" thickBot="1" x14ac:dyDescent="0.3">
      <c r="C62" s="57">
        <f>SUM(C58:C61)-1</f>
        <v>508628.7</v>
      </c>
      <c r="D62" s="31">
        <f>SUM(D58:D61)</f>
        <v>555933.23336611269</v>
      </c>
      <c r="E62" s="11">
        <f>C62-D62</f>
        <v>-47304.533366112679</v>
      </c>
      <c r="F62" s="9">
        <f>-1+(C62/D62)</f>
        <v>-8.5090313956748154E-2</v>
      </c>
      <c r="H62" s="31">
        <f>SUM(H58:H61)</f>
        <v>757584.89999999991</v>
      </c>
      <c r="I62" s="31">
        <f>SUM(I58:I61)</f>
        <v>555013.32656089449</v>
      </c>
      <c r="J62" s="31">
        <f t="shared" ref="J62:O62" si="24">SUM(J58:J61)</f>
        <v>461554.64877226995</v>
      </c>
      <c r="K62" s="31">
        <f t="shared" si="24"/>
        <v>425064</v>
      </c>
      <c r="L62" s="31">
        <f t="shared" si="24"/>
        <v>267653</v>
      </c>
      <c r="M62" s="31">
        <f t="shared" si="24"/>
        <v>234259</v>
      </c>
      <c r="N62" s="11">
        <f t="shared" si="24"/>
        <v>210066</v>
      </c>
      <c r="O62" s="11">
        <f t="shared" si="24"/>
        <v>220390</v>
      </c>
      <c r="P62" s="30">
        <v>265436</v>
      </c>
    </row>
    <row r="63" spans="2:19" ht="13.8" thickBot="1" x14ac:dyDescent="0.3">
      <c r="C63" s="32">
        <f>C53+C62</f>
        <v>565143</v>
      </c>
      <c r="D63" s="32"/>
      <c r="H63" s="32"/>
      <c r="I63" s="32"/>
      <c r="J63" s="32"/>
      <c r="K63" s="32"/>
      <c r="L63" s="32"/>
      <c r="M63" s="32"/>
      <c r="P63" s="32"/>
    </row>
    <row r="64" spans="2:19" x14ac:dyDescent="0.25">
      <c r="B64" s="23" t="s">
        <v>26</v>
      </c>
      <c r="C64" s="13">
        <f>C13+C22+C32+C41+C53+C62</f>
        <v>1565403</v>
      </c>
      <c r="D64" s="13">
        <f>D13+D22+D32+D41+D53+D62</f>
        <v>1727051.304855302</v>
      </c>
      <c r="F64" s="180" t="s">
        <v>186</v>
      </c>
      <c r="G64" s="181"/>
      <c r="H64" s="13">
        <f>H13+H22+H32+H41+H53+H62</f>
        <v>2315987</v>
      </c>
      <c r="I64" s="13">
        <f>I13+I22+I32+I41+I53+I62</f>
        <v>1827685.5198759558</v>
      </c>
      <c r="J64" s="13">
        <f>J13+J22+J32+J41+J53+J62</f>
        <v>1631897.6641830297</v>
      </c>
      <c r="K64" s="13">
        <f t="shared" ref="K64:P64" si="25">K13+K22+K32+K41+K53+K62</f>
        <v>1512000</v>
      </c>
      <c r="L64" s="13">
        <f t="shared" si="25"/>
        <v>1058610</v>
      </c>
      <c r="M64" s="13">
        <f t="shared" si="25"/>
        <v>973092.99</v>
      </c>
      <c r="N64" s="13">
        <f t="shared" si="25"/>
        <v>845539.99</v>
      </c>
      <c r="O64" s="13">
        <f t="shared" si="25"/>
        <v>745119</v>
      </c>
      <c r="P64" s="13">
        <f t="shared" si="25"/>
        <v>804617</v>
      </c>
    </row>
    <row r="65" spans="2:15" x14ac:dyDescent="0.25">
      <c r="B65" t="s">
        <v>32</v>
      </c>
      <c r="C65" s="38">
        <f>C64/D64</f>
        <v>0.90640214080447057</v>
      </c>
      <c r="D65" s="38">
        <f>D64/H64</f>
        <v>0.74570854881970494</v>
      </c>
      <c r="F65" s="182">
        <f>1-D65</f>
        <v>0.25429145118029506</v>
      </c>
      <c r="G65" s="183"/>
      <c r="H65" s="38">
        <f>H64/I64</f>
        <v>1.2671693104824648</v>
      </c>
      <c r="I65" s="38">
        <f>I64/J64</f>
        <v>1.119975571992097</v>
      </c>
      <c r="J65" s="38">
        <f t="shared" ref="J65:O65" si="26">J64/K64</f>
        <v>1.0792973969464481</v>
      </c>
      <c r="K65" s="38">
        <f t="shared" si="26"/>
        <v>1.428288038087681</v>
      </c>
      <c r="L65" s="38">
        <f t="shared" si="26"/>
        <v>1.0878816422261968</v>
      </c>
      <c r="M65" s="38">
        <f t="shared" si="26"/>
        <v>1.1508538939713544</v>
      </c>
      <c r="N65" s="38">
        <f t="shared" si="26"/>
        <v>1.1347717478684614</v>
      </c>
      <c r="O65" s="38">
        <f t="shared" si="26"/>
        <v>0.92605425935569341</v>
      </c>
    </row>
    <row r="66" spans="2:15" x14ac:dyDescent="0.25">
      <c r="F66" s="184">
        <f>H64*F65</f>
        <v>588935.69514469802</v>
      </c>
      <c r="G66" s="183"/>
    </row>
    <row r="67" spans="2:15" ht="13.8" thickBot="1" x14ac:dyDescent="0.3">
      <c r="C67" t="s">
        <v>106</v>
      </c>
      <c r="D67" s="23" t="s">
        <v>108</v>
      </c>
      <c r="E67" s="13"/>
      <c r="F67" s="185">
        <f>D64+F66</f>
        <v>2315987</v>
      </c>
      <c r="G67" s="186"/>
      <c r="I67" s="13"/>
    </row>
    <row r="68" spans="2:15" x14ac:dyDescent="0.25">
      <c r="B68" s="23" t="s">
        <v>7</v>
      </c>
      <c r="C68" s="13">
        <f>C18+C37+C58</f>
        <v>278723.41251620883</v>
      </c>
      <c r="D68" s="32">
        <f>C8+C27+C48</f>
        <v>12387.707222942616</v>
      </c>
      <c r="E68" s="13"/>
      <c r="I68" s="13"/>
    </row>
    <row r="69" spans="2:15" x14ac:dyDescent="0.25">
      <c r="B69" s="23" t="s">
        <v>8</v>
      </c>
      <c r="C69" s="13">
        <f>C19+C38+C59</f>
        <v>222844.33338470844</v>
      </c>
      <c r="D69" s="32">
        <f>C9+C28+C49</f>
        <v>9904.192594875929</v>
      </c>
      <c r="E69" s="13"/>
      <c r="I69" s="13"/>
    </row>
    <row r="70" spans="2:15" x14ac:dyDescent="0.25">
      <c r="B70" s="23" t="s">
        <v>9</v>
      </c>
      <c r="C70" s="13">
        <f>C20+C39+C60</f>
        <v>209076.68685985048</v>
      </c>
      <c r="D70" s="32">
        <f>C10+C29+C50</f>
        <v>9292.2971937711336</v>
      </c>
      <c r="E70" s="13"/>
      <c r="I70" s="13"/>
    </row>
    <row r="71" spans="2:15" x14ac:dyDescent="0.25">
      <c r="B71" s="23" t="s">
        <v>155</v>
      </c>
      <c r="C71" s="13">
        <f>C21+C40+C61</f>
        <v>698219.36723923241</v>
      </c>
      <c r="D71" s="32">
        <f>C11+C30+C51</f>
        <v>31030.882988410325</v>
      </c>
    </row>
    <row r="72" spans="2:15" x14ac:dyDescent="0.25">
      <c r="B72" s="23" t="s">
        <v>11</v>
      </c>
      <c r="D72" s="155">
        <f>C12+C31+C52</f>
        <v>93924.12000000001</v>
      </c>
    </row>
    <row r="73" spans="2:15" ht="13.8" thickBot="1" x14ac:dyDescent="0.3">
      <c r="C73" s="147">
        <f>SUM(C68:C72)</f>
        <v>1408863.8000000003</v>
      </c>
      <c r="D73" s="118">
        <f>SUM(D68:D72)</f>
        <v>156539.20000000001</v>
      </c>
      <c r="E73" s="13">
        <f>C73+D73</f>
        <v>1565403.0000000002</v>
      </c>
    </row>
    <row r="74" spans="2:15" ht="13.8" thickTop="1" x14ac:dyDescent="0.25"/>
  </sheetData>
  <pageMargins left="0.75" right="0.75" top="1" bottom="1" header="0.5" footer="0.5"/>
  <pageSetup scale="56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B32B2A-3580-47B9-AC44-21F2FE45FC70}">
  <sheetPr>
    <pageSetUpPr fitToPage="1"/>
  </sheetPr>
  <dimension ref="A1:AC26"/>
  <sheetViews>
    <sheetView topLeftCell="L4" workbookViewId="0">
      <selection activeCell="AA12" sqref="AA12"/>
    </sheetView>
  </sheetViews>
  <sheetFormatPr defaultColWidth="9.109375" defaultRowHeight="15.6" x14ac:dyDescent="0.3"/>
  <cols>
    <col min="1" max="1" width="9.33203125" style="156" bestFit="1" customWidth="1"/>
    <col min="2" max="2" width="10" style="156" customWidth="1"/>
    <col min="3" max="3" width="9.109375" style="156"/>
    <col min="4" max="4" width="13.88671875" style="156" bestFit="1" customWidth="1"/>
    <col min="5" max="5" width="15" style="156" customWidth="1"/>
    <col min="6" max="6" width="13.88671875" style="156" bestFit="1" customWidth="1"/>
    <col min="7" max="7" width="12.6640625" style="156" bestFit="1" customWidth="1"/>
    <col min="8" max="8" width="16.44140625" style="156" bestFit="1" customWidth="1"/>
    <col min="9" max="9" width="13" style="157" bestFit="1" customWidth="1"/>
    <col min="10" max="10" width="10.88671875" style="157" bestFit="1" customWidth="1"/>
    <col min="11" max="11" width="10" style="157" customWidth="1"/>
    <col min="12" max="12" width="11.88671875" style="157" bestFit="1" customWidth="1"/>
    <col min="13" max="13" width="10.6640625" style="157" bestFit="1" customWidth="1"/>
    <col min="14" max="14" width="10.88671875" style="157" bestFit="1" customWidth="1"/>
    <col min="15" max="15" width="6.109375" style="156" bestFit="1" customWidth="1"/>
    <col min="16" max="16" width="10.109375" style="156" customWidth="1"/>
    <col min="17" max="17" width="9.109375" style="156"/>
    <col min="18" max="18" width="10.6640625" style="156" customWidth="1"/>
    <col min="19" max="19" width="10.33203125" style="156" customWidth="1"/>
    <col min="20" max="21" width="11" style="156" customWidth="1"/>
    <col min="22" max="22" width="9.5546875" style="156" bestFit="1" customWidth="1"/>
    <col min="23" max="23" width="13" style="156" customWidth="1"/>
    <col min="24" max="24" width="10.109375" style="156" bestFit="1" customWidth="1"/>
    <col min="25" max="25" width="10.44140625" style="156" customWidth="1"/>
    <col min="26" max="26" width="10.33203125" style="156" customWidth="1"/>
    <col min="27" max="27" width="10.109375" style="156" bestFit="1" customWidth="1"/>
    <col min="28" max="28" width="9.5546875" style="156" bestFit="1" customWidth="1"/>
    <col min="29" max="29" width="8.88671875" style="156" bestFit="1" customWidth="1"/>
    <col min="30" max="30" width="9.5546875" style="156" bestFit="1" customWidth="1"/>
    <col min="31" max="31" width="9" style="156" bestFit="1" customWidth="1"/>
    <col min="32" max="16384" width="9.109375" style="156"/>
  </cols>
  <sheetData>
    <row r="1" spans="1:29" x14ac:dyDescent="0.3">
      <c r="A1" s="156" t="s">
        <v>39</v>
      </c>
    </row>
    <row r="2" spans="1:29" x14ac:dyDescent="0.3">
      <c r="A2" s="156" t="s">
        <v>165</v>
      </c>
    </row>
    <row r="3" spans="1:29" x14ac:dyDescent="0.3">
      <c r="A3" s="156" t="s">
        <v>166</v>
      </c>
    </row>
    <row r="4" spans="1:29" x14ac:dyDescent="0.3">
      <c r="O4"/>
      <c r="P4" s="164" t="s">
        <v>178</v>
      </c>
      <c r="Q4"/>
      <c r="R4"/>
      <c r="S4"/>
      <c r="T4"/>
      <c r="U4" s="164" t="s">
        <v>179</v>
      </c>
      <c r="V4"/>
      <c r="W4" t="s">
        <v>161</v>
      </c>
      <c r="X4"/>
      <c r="Y4"/>
      <c r="Z4"/>
      <c r="AA4"/>
      <c r="AB4"/>
      <c r="AC4"/>
    </row>
    <row r="5" spans="1:29" s="158" customFormat="1" ht="31.2" x14ac:dyDescent="0.3">
      <c r="D5" s="158" t="s">
        <v>64</v>
      </c>
      <c r="E5" s="158" t="s">
        <v>62</v>
      </c>
      <c r="F5" s="158" t="s">
        <v>167</v>
      </c>
      <c r="G5" s="158" t="s">
        <v>87</v>
      </c>
      <c r="I5" s="163" t="s">
        <v>172</v>
      </c>
      <c r="J5" s="163" t="s">
        <v>173</v>
      </c>
      <c r="K5" s="163" t="s">
        <v>174</v>
      </c>
      <c r="L5" s="163" t="s">
        <v>175</v>
      </c>
      <c r="M5" s="163" t="s">
        <v>176</v>
      </c>
      <c r="N5" s="163" t="s">
        <v>177</v>
      </c>
      <c r="O5"/>
      <c r="P5" s="163"/>
      <c r="Q5" s="163" t="s">
        <v>180</v>
      </c>
      <c r="R5" s="163" t="s">
        <v>181</v>
      </c>
      <c r="S5"/>
      <c r="T5"/>
      <c r="U5"/>
      <c r="V5"/>
      <c r="W5" s="163" t="s">
        <v>172</v>
      </c>
      <c r="X5" s="163" t="s">
        <v>173</v>
      </c>
      <c r="Y5" s="163" t="s">
        <v>174</v>
      </c>
      <c r="Z5" s="163" t="s">
        <v>175</v>
      </c>
      <c r="AA5" s="163" t="s">
        <v>176</v>
      </c>
      <c r="AB5" s="163" t="s">
        <v>177</v>
      </c>
      <c r="AC5"/>
    </row>
    <row r="6" spans="1:29" x14ac:dyDescent="0.3">
      <c r="A6" s="156">
        <v>56</v>
      </c>
      <c r="B6" s="156" t="s">
        <v>7</v>
      </c>
      <c r="C6" s="156" t="s">
        <v>5</v>
      </c>
      <c r="D6" s="159">
        <v>84398.208078511539</v>
      </c>
      <c r="E6" s="159">
        <v>107234.73577532131</v>
      </c>
      <c r="F6" s="159">
        <v>84855.392039064041</v>
      </c>
      <c r="G6" s="159">
        <f>SUM(D6:F6)</f>
        <v>276488.33589289687</v>
      </c>
      <c r="I6" s="157">
        <f>D6*0.9</f>
        <v>75958.387270660387</v>
      </c>
      <c r="J6" s="157">
        <f>D6*0.1</f>
        <v>8439.8208078511543</v>
      </c>
      <c r="K6" s="157">
        <f>E6*0.9</f>
        <v>96511.262197789183</v>
      </c>
      <c r="L6" s="157">
        <f>E6*0.1</f>
        <v>10723.473577532131</v>
      </c>
      <c r="M6" s="157">
        <f>F6*0.9</f>
        <v>76369.852835157639</v>
      </c>
      <c r="N6" s="157">
        <f>F6*0.1</f>
        <v>8485.5392039064045</v>
      </c>
      <c r="O6" t="s">
        <v>182</v>
      </c>
      <c r="P6">
        <v>548918</v>
      </c>
      <c r="Q6">
        <v>100372</v>
      </c>
      <c r="R6">
        <v>448546</v>
      </c>
      <c r="S6">
        <f>Q6+R6</f>
        <v>548918</v>
      </c>
      <c r="T6"/>
      <c r="U6" s="165">
        <f>P6-D10</f>
        <v>4397.3186436395627</v>
      </c>
      <c r="V6" s="156" t="s">
        <v>7</v>
      </c>
      <c r="W6" s="166">
        <f>$Q$6*0.9*X22</f>
        <v>14001.479664903951</v>
      </c>
      <c r="X6" s="166">
        <f>$Q$6*0.1*X22</f>
        <v>1555.7199627671057</v>
      </c>
      <c r="Y6" s="166">
        <f>$Q$7*0.9*Z22</f>
        <v>12402.059708348244</v>
      </c>
      <c r="Z6" s="166">
        <f>$Q$7*0.1*Z22</f>
        <v>1378.0066342609161</v>
      </c>
      <c r="AA6" s="166">
        <f>P$8*0.9*Z22</f>
        <v>77223.256756737974</v>
      </c>
      <c r="AB6" s="166">
        <f>P$8*0.1*Z22</f>
        <v>8580.3618618597757</v>
      </c>
      <c r="AC6"/>
    </row>
    <row r="7" spans="1:29" x14ac:dyDescent="0.3">
      <c r="A7" s="156">
        <v>58</v>
      </c>
      <c r="B7" s="156" t="s">
        <v>8</v>
      </c>
      <c r="C7" s="156" t="s">
        <v>5</v>
      </c>
      <c r="D7" s="159">
        <v>83533.254076923593</v>
      </c>
      <c r="E7" s="159">
        <v>71329.338726186368</v>
      </c>
      <c r="F7" s="159">
        <v>87593.477096964591</v>
      </c>
      <c r="G7" s="159">
        <f>SUM(D7:F7)</f>
        <v>242456.06990007457</v>
      </c>
      <c r="I7" s="157">
        <f t="shared" ref="I7:I9" si="0">D7*0.9</f>
        <v>75179.928669231231</v>
      </c>
      <c r="J7" s="157">
        <f t="shared" ref="J7:J9" si="1">D7*0.1</f>
        <v>8353.3254076923604</v>
      </c>
      <c r="K7" s="157">
        <f t="shared" ref="K7:K9" si="2">E7*0.9</f>
        <v>64196.404853567736</v>
      </c>
      <c r="L7" s="157">
        <f t="shared" ref="L7:L9" si="3">E7*0.1</f>
        <v>7132.933872618637</v>
      </c>
      <c r="M7" s="157">
        <f t="shared" ref="M7:M9" si="4">F7*0.9</f>
        <v>78834.129387268127</v>
      </c>
      <c r="N7" s="157">
        <f t="shared" ref="N7:N9" si="5">F7*0.1</f>
        <v>8759.3477096964598</v>
      </c>
      <c r="O7" t="s">
        <v>183</v>
      </c>
      <c r="P7">
        <v>451341</v>
      </c>
      <c r="Q7">
        <v>90762</v>
      </c>
      <c r="R7">
        <v>360579</v>
      </c>
      <c r="S7">
        <f>Q7+R7</f>
        <v>451341</v>
      </c>
      <c r="T7"/>
      <c r="U7" s="165">
        <f>P7-E10</f>
        <v>5360.5085578343133</v>
      </c>
      <c r="V7" s="156" t="s">
        <v>8</v>
      </c>
      <c r="W7" s="166">
        <f>$Q$6*0.9*X23</f>
        <v>13857.985672080726</v>
      </c>
      <c r="X7" s="166">
        <f>$Q$6*0.1*X23</f>
        <v>1539.7761857867474</v>
      </c>
      <c r="Y7" s="166">
        <f>$Q$7*0.9*Z23</f>
        <v>12802.245171624236</v>
      </c>
      <c r="Z7" s="166">
        <f>$Q$7*0.1*Z23</f>
        <v>1422.4716857360263</v>
      </c>
      <c r="AA7" s="166">
        <f>P$8*0.9*Z23</f>
        <v>79715.070657623626</v>
      </c>
      <c r="AB7" s="166">
        <f>P$8*0.1*Z23</f>
        <v>8857.2300730692914</v>
      </c>
      <c r="AC7"/>
    </row>
    <row r="8" spans="1:29" x14ac:dyDescent="0.3">
      <c r="A8" s="156">
        <v>61</v>
      </c>
      <c r="B8" s="156" t="s">
        <v>9</v>
      </c>
      <c r="C8" s="156" t="s">
        <v>5</v>
      </c>
      <c r="D8" s="159">
        <v>83230.244713309978</v>
      </c>
      <c r="E8" s="159">
        <v>76171.826717756587</v>
      </c>
      <c r="F8" s="159">
        <v>67119.980100194749</v>
      </c>
      <c r="G8" s="159">
        <f>SUM(D8:F8)</f>
        <v>226522.0515312613</v>
      </c>
      <c r="I8" s="157">
        <f t="shared" si="0"/>
        <v>74907.220241978983</v>
      </c>
      <c r="J8" s="157">
        <f t="shared" si="1"/>
        <v>8323.0244713309985</v>
      </c>
      <c r="K8" s="157">
        <f t="shared" si="2"/>
        <v>68554.644045980924</v>
      </c>
      <c r="L8" s="157">
        <f t="shared" si="3"/>
        <v>7617.1826717756594</v>
      </c>
      <c r="M8" s="157">
        <f t="shared" si="4"/>
        <v>60407.982090175276</v>
      </c>
      <c r="N8" s="157">
        <f t="shared" si="5"/>
        <v>6711.9980100194753</v>
      </c>
      <c r="O8" t="s">
        <v>184</v>
      </c>
      <c r="P8">
        <v>565143</v>
      </c>
      <c r="Q8"/>
      <c r="R8"/>
      <c r="S8"/>
      <c r="T8"/>
      <c r="U8" s="165">
        <f>P8-F10</f>
        <v>6245.466362199164</v>
      </c>
      <c r="V8" s="156" t="s">
        <v>9</v>
      </c>
      <c r="W8" s="166">
        <f>$Q$6*0.9*X24</f>
        <v>13807.717075868768</v>
      </c>
      <c r="X8" s="166">
        <f>$Q$6*0.1*X24</f>
        <v>1534.1907862076409</v>
      </c>
      <c r="Y8" s="166">
        <f>$Q$7*0.9*Z24</f>
        <v>9809.9364203343193</v>
      </c>
      <c r="Z8" s="166">
        <f>$Q$7*0.1*Z24</f>
        <v>1089.9929355927022</v>
      </c>
      <c r="AA8" s="166">
        <f>P$8*0.9*Z24</f>
        <v>61083.01820582401</v>
      </c>
      <c r="AB8" s="166">
        <f>P$8*0.1*Z24</f>
        <v>6787.0020228693347</v>
      </c>
      <c r="AC8"/>
    </row>
    <row r="9" spans="1:29" ht="16.2" thickBot="1" x14ac:dyDescent="0.35">
      <c r="A9" s="156">
        <v>84</v>
      </c>
      <c r="B9" s="156" t="s">
        <v>10</v>
      </c>
      <c r="C9" s="156" t="s">
        <v>5</v>
      </c>
      <c r="D9" s="159">
        <v>293358.97448761534</v>
      </c>
      <c r="E9" s="159">
        <v>191244.59022290143</v>
      </c>
      <c r="F9" s="159">
        <v>319328.68440157745</v>
      </c>
      <c r="G9" s="159">
        <f>SUM(D9:F9)</f>
        <v>803932.24911209429</v>
      </c>
      <c r="I9" s="157">
        <f t="shared" si="0"/>
        <v>264023.07703885384</v>
      </c>
      <c r="J9" s="157">
        <f t="shared" si="1"/>
        <v>29335.897448761534</v>
      </c>
      <c r="K9" s="157">
        <f t="shared" si="2"/>
        <v>172120.1312006113</v>
      </c>
      <c r="L9" s="157">
        <f t="shared" si="3"/>
        <v>19124.459022290142</v>
      </c>
      <c r="M9" s="157">
        <f t="shared" si="4"/>
        <v>287395.81596141972</v>
      </c>
      <c r="N9" s="157">
        <f t="shared" si="5"/>
        <v>31932.868440157748</v>
      </c>
      <c r="O9"/>
      <c r="P9" s="167">
        <f>SUM(P6:P8)</f>
        <v>1565402</v>
      </c>
      <c r="Q9"/>
      <c r="R9"/>
      <c r="S9"/>
      <c r="T9"/>
      <c r="U9" s="168">
        <f>SUM(U6:U8)</f>
        <v>16003.29356367304</v>
      </c>
      <c r="V9" s="156" t="s">
        <v>10</v>
      </c>
      <c r="W9" s="166">
        <f>$Q$6*0.9*X25</f>
        <v>48667.61758714656</v>
      </c>
      <c r="X9" s="166">
        <f>$Q$6*0.1*X25</f>
        <v>5407.5130652385069</v>
      </c>
      <c r="Y9" s="166">
        <f>$Q$7*0.9*Z25</f>
        <v>46671.558699693196</v>
      </c>
      <c r="Z9" s="166">
        <f>$Q$7*0.1*Z25</f>
        <v>5185.7287444103558</v>
      </c>
      <c r="AA9" s="166">
        <f>P$8*0.9*Z25</f>
        <v>290607.35437981441</v>
      </c>
      <c r="AB9" s="166">
        <f>P$8*0.1*Z25</f>
        <v>32289.7060422016</v>
      </c>
      <c r="AC9"/>
    </row>
    <row r="10" spans="1:29" ht="16.8" thickTop="1" thickBot="1" x14ac:dyDescent="0.35">
      <c r="C10" s="160" t="s">
        <v>168</v>
      </c>
      <c r="D10" s="159">
        <f>SUM(D6:D9)</f>
        <v>544520.68135636044</v>
      </c>
      <c r="E10" s="159">
        <f>SUM(E6:E9)</f>
        <v>445980.49144216569</v>
      </c>
      <c r="F10" s="159">
        <f>SUM(F6:F9)</f>
        <v>558897.53363780084</v>
      </c>
      <c r="G10" s="159">
        <f>SUM(G6:G9)</f>
        <v>1549398.706436327</v>
      </c>
      <c r="I10" s="161">
        <f>SUM(I6:I9)</f>
        <v>490068.61322072445</v>
      </c>
      <c r="J10" s="161">
        <f t="shared" ref="J10:N10" si="6">SUM(J6:J9)</f>
        <v>54452.068135636044</v>
      </c>
      <c r="K10" s="161">
        <f t="shared" si="6"/>
        <v>401382.44229794916</v>
      </c>
      <c r="L10" s="161">
        <f t="shared" si="6"/>
        <v>44598.049144216566</v>
      </c>
      <c r="M10" s="161">
        <f t="shared" si="6"/>
        <v>503007.78027402074</v>
      </c>
      <c r="N10" s="161">
        <f t="shared" si="6"/>
        <v>55889.753363780088</v>
      </c>
      <c r="O10"/>
      <c r="P10" s="165">
        <f>P9-G10</f>
        <v>16003.29356367304</v>
      </c>
      <c r="Q10"/>
      <c r="R10"/>
      <c r="S10"/>
      <c r="T10"/>
      <c r="U10" s="165">
        <f>P10-U9</f>
        <v>0</v>
      </c>
      <c r="V10"/>
      <c r="W10" s="169">
        <f t="shared" ref="W10:AB10" si="7">SUM(W6:W9)</f>
        <v>90334.800000000017</v>
      </c>
      <c r="X10" s="169">
        <f t="shared" si="7"/>
        <v>10037.200000000001</v>
      </c>
      <c r="Y10" s="169">
        <f t="shared" si="7"/>
        <v>81685.799999999988</v>
      </c>
      <c r="Z10" s="169">
        <f t="shared" si="7"/>
        <v>9076.2000000000007</v>
      </c>
      <c r="AA10" s="169">
        <f t="shared" si="7"/>
        <v>508628.7</v>
      </c>
      <c r="AB10" s="169">
        <f t="shared" si="7"/>
        <v>56514.3</v>
      </c>
      <c r="AC10"/>
    </row>
    <row r="11" spans="1:29" ht="16.2" thickTop="1" x14ac:dyDescent="0.3">
      <c r="J11" s="157">
        <f>J10+I10</f>
        <v>544520.68135636044</v>
      </c>
      <c r="L11" s="157">
        <f>L10+K10</f>
        <v>445980.49144216574</v>
      </c>
      <c r="N11" s="157">
        <f>N10+M10</f>
        <v>558897.53363780084</v>
      </c>
      <c r="O11"/>
      <c r="P11"/>
      <c r="Q11"/>
      <c r="R11"/>
      <c r="S11"/>
      <c r="T11"/>
      <c r="U11"/>
      <c r="V11"/>
      <c r="W11" s="166">
        <f>W10+X10</f>
        <v>100372.00000000001</v>
      </c>
      <c r="X11" s="166"/>
      <c r="Y11" s="166">
        <f>Y10+Z10</f>
        <v>90761.999999999985</v>
      </c>
      <c r="Z11" s="166"/>
      <c r="AA11" s="166">
        <f>AA10+AB10-T10</f>
        <v>565143</v>
      </c>
      <c r="AB11" s="166"/>
      <c r="AC11"/>
    </row>
    <row r="12" spans="1:29" x14ac:dyDescent="0.3">
      <c r="A12" s="162" t="s">
        <v>169</v>
      </c>
      <c r="I12" s="157">
        <f>I10+K10+M10</f>
        <v>1394458.8357926942</v>
      </c>
      <c r="J12" s="157">
        <f>J10+L10+N10</f>
        <v>154939.87064363269</v>
      </c>
      <c r="O12"/>
      <c r="P12"/>
      <c r="Q12"/>
      <c r="R12"/>
      <c r="S12"/>
      <c r="T12"/>
      <c r="U12"/>
      <c r="V12"/>
      <c r="W12" s="166" t="str">
        <f>R5</f>
        <v>fy23</v>
      </c>
      <c r="X12"/>
      <c r="Y12"/>
      <c r="Z12"/>
      <c r="AA12"/>
      <c r="AB12"/>
      <c r="AC12"/>
    </row>
    <row r="13" spans="1:29" ht="31.2" x14ac:dyDescent="0.3">
      <c r="A13" s="162" t="s">
        <v>170</v>
      </c>
      <c r="O13"/>
      <c r="P13"/>
      <c r="Q13"/>
      <c r="R13"/>
      <c r="S13"/>
      <c r="T13"/>
      <c r="U13"/>
      <c r="V13"/>
      <c r="W13" s="163" t="s">
        <v>172</v>
      </c>
      <c r="X13" s="163" t="s">
        <v>173</v>
      </c>
      <c r="Y13" s="163" t="s">
        <v>174</v>
      </c>
      <c r="Z13" s="163" t="s">
        <v>175</v>
      </c>
      <c r="AA13" s="163"/>
      <c r="AB13" s="163"/>
      <c r="AC13"/>
    </row>
    <row r="14" spans="1:29" x14ac:dyDescent="0.3">
      <c r="A14" s="162" t="s">
        <v>171</v>
      </c>
      <c r="O14"/>
      <c r="P14"/>
      <c r="Q14"/>
      <c r="R14"/>
      <c r="S14"/>
      <c r="T14"/>
      <c r="U14"/>
      <c r="V14" s="156" t="s">
        <v>7</v>
      </c>
      <c r="W14" s="166">
        <f>$R$6*0.9*Y22</f>
        <v>97066.44448456401</v>
      </c>
      <c r="X14" s="166">
        <f>$R$6*0.1*Y22</f>
        <v>10785.160498284891</v>
      </c>
      <c r="Y14" s="166">
        <f>R$7*0.9*Y22</f>
        <v>78030.171901654699</v>
      </c>
      <c r="Z14" s="166">
        <f>R$7*0.1*Y22</f>
        <v>8670.0191001838539</v>
      </c>
      <c r="AA14" s="166"/>
      <c r="AB14" s="166"/>
      <c r="AC14"/>
    </row>
    <row r="15" spans="1:29" x14ac:dyDescent="0.3">
      <c r="O15"/>
      <c r="P15"/>
      <c r="Q15"/>
      <c r="R15"/>
      <c r="S15"/>
      <c r="T15"/>
      <c r="U15"/>
      <c r="V15" s="156" t="s">
        <v>8</v>
      </c>
      <c r="W15" s="166">
        <f>$R$6*0.9*Y23</f>
        <v>64565.695504603718</v>
      </c>
      <c r="X15" s="166">
        <f>$R$6*0.1*Y23</f>
        <v>7173.9661671781914</v>
      </c>
      <c r="Y15" s="166">
        <f>R$7*0.9*Y23</f>
        <v>51903.336378776105</v>
      </c>
      <c r="Z15" s="166">
        <f>R$7*0.1*Y23</f>
        <v>5767.0373754195662</v>
      </c>
      <c r="AA15" s="166"/>
      <c r="AB15" s="166"/>
      <c r="AC15"/>
    </row>
    <row r="16" spans="1:29" x14ac:dyDescent="0.3">
      <c r="O16"/>
      <c r="P16"/>
      <c r="Q16"/>
      <c r="R16"/>
      <c r="S16"/>
      <c r="T16"/>
      <c r="U16"/>
      <c r="V16" s="156" t="s">
        <v>9</v>
      </c>
      <c r="W16" s="166">
        <f>$R$6*0.9*Y24</f>
        <v>68949.005524462904</v>
      </c>
      <c r="X16" s="166">
        <f>$R$6*0.1*Y24</f>
        <v>7661.0006138292119</v>
      </c>
      <c r="Y16" s="166">
        <f>R$7*0.9*Y24</f>
        <v>55427.009633360482</v>
      </c>
      <c r="Z16" s="166">
        <f>R$7*0.1*Y24</f>
        <v>6158.5566259289417</v>
      </c>
      <c r="AA16" s="166"/>
      <c r="AB16" s="166"/>
      <c r="AC16"/>
    </row>
    <row r="17" spans="15:29" x14ac:dyDescent="0.3">
      <c r="O17"/>
      <c r="P17"/>
      <c r="Q17"/>
      <c r="R17"/>
      <c r="S17"/>
      <c r="T17"/>
      <c r="U17"/>
      <c r="V17" s="156" t="s">
        <v>10</v>
      </c>
      <c r="W17" s="166">
        <f>$R$6*0.9*Y25</f>
        <v>173110.25448636941</v>
      </c>
      <c r="X17" s="166">
        <f>$R$6*0.1*Y25</f>
        <v>19234.472720707712</v>
      </c>
      <c r="Y17" s="166">
        <f>R$7*0.9*Y25</f>
        <v>139160.58208620877</v>
      </c>
      <c r="Z17" s="166">
        <f>R$7*0.1*Y25</f>
        <v>15462.286898467639</v>
      </c>
      <c r="AA17" s="166"/>
      <c r="AB17" s="166"/>
      <c r="AC17"/>
    </row>
    <row r="18" spans="15:29" ht="16.2" thickBot="1" x14ac:dyDescent="0.35">
      <c r="O18"/>
      <c r="P18"/>
      <c r="Q18"/>
      <c r="R18"/>
      <c r="S18"/>
      <c r="T18"/>
      <c r="U18"/>
      <c r="V18"/>
      <c r="W18" s="169">
        <f>SUM(W14:W17)</f>
        <v>403691.4</v>
      </c>
      <c r="X18" s="169">
        <f>SUM(X14:X17)</f>
        <v>44854.600000000006</v>
      </c>
      <c r="Y18" s="169">
        <f>SUM(Y14:Y17)</f>
        <v>324521.10000000009</v>
      </c>
      <c r="Z18" s="169">
        <f>SUM(Z14:Z17)</f>
        <v>36057.9</v>
      </c>
      <c r="AA18" s="169"/>
      <c r="AB18" s="169"/>
      <c r="AC18"/>
    </row>
    <row r="19" spans="15:29" ht="16.2" thickTop="1" x14ac:dyDescent="0.3">
      <c r="O19"/>
      <c r="P19"/>
      <c r="Q19"/>
      <c r="R19"/>
      <c r="S19"/>
      <c r="T19"/>
      <c r="U19"/>
      <c r="V19"/>
      <c r="W19" s="166">
        <f>W18+X18</f>
        <v>448546</v>
      </c>
      <c r="X19" s="166"/>
      <c r="Y19" s="166">
        <f>Y18+Z18</f>
        <v>360579.00000000012</v>
      </c>
      <c r="Z19" s="166"/>
      <c r="AA19" s="166"/>
      <c r="AB19" s="166"/>
      <c r="AC19"/>
    </row>
    <row r="20" spans="15:29" x14ac:dyDescent="0.3">
      <c r="O20"/>
      <c r="P20"/>
      <c r="Q20"/>
      <c r="R20"/>
      <c r="S20"/>
      <c r="T20"/>
      <c r="U20" t="s">
        <v>185</v>
      </c>
      <c r="V20"/>
      <c r="W20"/>
      <c r="X20"/>
      <c r="Y20"/>
      <c r="Z20"/>
      <c r="AA20"/>
      <c r="AB20"/>
      <c r="AC20"/>
    </row>
    <row r="21" spans="15:29" ht="31.2" x14ac:dyDescent="0.3">
      <c r="O21"/>
      <c r="P21"/>
      <c r="Q21"/>
      <c r="R21"/>
      <c r="S21"/>
      <c r="T21"/>
      <c r="U21" s="163"/>
      <c r="V21" s="163"/>
      <c r="W21" s="163"/>
      <c r="X21" s="163" t="s">
        <v>64</v>
      </c>
      <c r="Y21" s="163" t="s">
        <v>62</v>
      </c>
      <c r="Z21" s="163" t="s">
        <v>167</v>
      </c>
      <c r="AA21"/>
      <c r="AB21"/>
      <c r="AC21"/>
    </row>
    <row r="22" spans="15:29" x14ac:dyDescent="0.3">
      <c r="O22"/>
      <c r="P22"/>
      <c r="Q22"/>
      <c r="R22"/>
      <c r="S22"/>
      <c r="T22"/>
      <c r="U22" s="164"/>
      <c r="V22" s="156" t="s">
        <v>7</v>
      </c>
      <c r="W22" s="164"/>
      <c r="X22" s="170">
        <f t="shared" ref="X22:Z25" si="8">D6/D$10</f>
        <v>0.15499541333908914</v>
      </c>
      <c r="Y22" s="170">
        <f t="shared" si="8"/>
        <v>0.24044714473621187</v>
      </c>
      <c r="Z22" s="170">
        <f t="shared" si="8"/>
        <v>0.15182638485940328</v>
      </c>
      <c r="AA22"/>
      <c r="AB22"/>
      <c r="AC22"/>
    </row>
    <row r="23" spans="15:29" x14ac:dyDescent="0.3">
      <c r="O23"/>
      <c r="P23"/>
      <c r="Q23"/>
      <c r="R23"/>
      <c r="S23"/>
      <c r="T23"/>
      <c r="U23" s="164"/>
      <c r="V23" s="156" t="s">
        <v>8</v>
      </c>
      <c r="W23" s="164"/>
      <c r="X23" s="170">
        <f t="shared" si="8"/>
        <v>0.1534069447442262</v>
      </c>
      <c r="Y23" s="170">
        <f t="shared" si="8"/>
        <v>0.1599382486339905</v>
      </c>
      <c r="Z23" s="170">
        <f t="shared" si="8"/>
        <v>0.15672546723695227</v>
      </c>
      <c r="AA23"/>
      <c r="AB23"/>
      <c r="AC23"/>
    </row>
    <row r="24" spans="15:29" x14ac:dyDescent="0.3">
      <c r="O24"/>
      <c r="P24"/>
      <c r="Q24"/>
      <c r="R24"/>
      <c r="S24"/>
      <c r="T24"/>
      <c r="U24" s="164"/>
      <c r="V24" s="156" t="s">
        <v>9</v>
      </c>
      <c r="W24" s="164"/>
      <c r="X24" s="170">
        <f t="shared" si="8"/>
        <v>0.15285047485430606</v>
      </c>
      <c r="Y24" s="170">
        <f t="shared" si="8"/>
        <v>0.17079631997229294</v>
      </c>
      <c r="Z24" s="170">
        <f t="shared" si="8"/>
        <v>0.1200935342536196</v>
      </c>
      <c r="AA24"/>
      <c r="AB24"/>
      <c r="AC24"/>
    </row>
    <row r="25" spans="15:29" x14ac:dyDescent="0.3">
      <c r="O25"/>
      <c r="P25"/>
      <c r="Q25"/>
      <c r="R25"/>
      <c r="S25"/>
      <c r="T25"/>
      <c r="U25" s="164"/>
      <c r="V25" s="156" t="s">
        <v>10</v>
      </c>
      <c r="W25" s="164"/>
      <c r="X25" s="170">
        <f t="shared" si="8"/>
        <v>0.53874716706237857</v>
      </c>
      <c r="Y25" s="170">
        <f t="shared" si="8"/>
        <v>0.42881828665750471</v>
      </c>
      <c r="Z25" s="170">
        <f t="shared" si="8"/>
        <v>0.57135461365002482</v>
      </c>
      <c r="AA25"/>
      <c r="AB25"/>
      <c r="AC25"/>
    </row>
    <row r="26" spans="15:29" x14ac:dyDescent="0.3">
      <c r="O26"/>
      <c r="P26"/>
      <c r="Q26"/>
      <c r="R26"/>
      <c r="S26"/>
      <c r="T26"/>
      <c r="U26" s="164"/>
      <c r="V26" s="164"/>
      <c r="W26" s="171" t="s">
        <v>168</v>
      </c>
      <c r="X26" s="170">
        <f>SUM(X22:X25)</f>
        <v>1</v>
      </c>
      <c r="Y26" s="170">
        <f>SUM(Y22:Y25)</f>
        <v>1</v>
      </c>
      <c r="Z26" s="170">
        <f>SUM(Z22:Z25)</f>
        <v>1</v>
      </c>
      <c r="AA26"/>
      <c r="AB26"/>
      <c r="AC26"/>
    </row>
  </sheetData>
  <pageMargins left="0.7" right="0.7" top="0.75" bottom="0.75" header="0.3" footer="0.3"/>
  <pageSetup scale="92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EDB0F5-A6BD-4A52-AB77-EA85B7F74F03}">
  <sheetPr>
    <pageSetUpPr fitToPage="1"/>
  </sheetPr>
  <dimension ref="B1:W73"/>
  <sheetViews>
    <sheetView topLeftCell="B53" zoomScale="118" zoomScaleNormal="118" workbookViewId="0">
      <selection activeCell="B66" sqref="B66"/>
    </sheetView>
  </sheetViews>
  <sheetFormatPr defaultColWidth="9.109375" defaultRowHeight="13.2" x14ac:dyDescent="0.25"/>
  <cols>
    <col min="1" max="1" width="9.109375" customWidth="1"/>
    <col min="2" max="2" width="15.6640625" customWidth="1"/>
    <col min="3" max="3" width="11.44140625" customWidth="1"/>
    <col min="4" max="4" width="11.33203125" customWidth="1"/>
    <col min="5" max="5" width="10.5546875" customWidth="1"/>
    <col min="6" max="6" width="11.109375" customWidth="1"/>
    <col min="8" max="8" width="11.33203125" customWidth="1"/>
    <col min="9" max="9" width="11" customWidth="1"/>
    <col min="10" max="10" width="9.88671875" hidden="1" customWidth="1"/>
    <col min="11" max="11" width="10.109375" hidden="1" customWidth="1"/>
    <col min="12" max="14" width="10.5546875" hidden="1" customWidth="1"/>
    <col min="15" max="15" width="11" hidden="1" customWidth="1"/>
    <col min="17" max="17" width="14.44140625" customWidth="1"/>
    <col min="18" max="18" width="11.5546875" style="101" customWidth="1"/>
    <col min="19" max="19" width="14.109375" customWidth="1"/>
    <col min="20" max="20" width="17.44140625" bestFit="1" customWidth="1"/>
    <col min="22" max="22" width="10.109375" bestFit="1" customWidth="1"/>
  </cols>
  <sheetData>
    <row r="1" spans="2:21" s="7" customFormat="1" ht="21" x14ac:dyDescent="0.4">
      <c r="C1" s="15" t="s">
        <v>141</v>
      </c>
      <c r="Q1" s="173">
        <f ca="1">NOW()</f>
        <v>44884.557374074073</v>
      </c>
      <c r="R1" s="173"/>
    </row>
    <row r="2" spans="2:21" s="7" customFormat="1" ht="15.6" x14ac:dyDescent="0.3">
      <c r="C2" s="7" t="s">
        <v>140</v>
      </c>
      <c r="F2" s="19"/>
      <c r="R2" s="100"/>
    </row>
    <row r="3" spans="2:21" s="7" customFormat="1" ht="15.6" x14ac:dyDescent="0.3">
      <c r="R3" s="100"/>
    </row>
    <row r="4" spans="2:21" s="7" customFormat="1" ht="15.6" x14ac:dyDescent="0.3">
      <c r="R4" s="100"/>
    </row>
    <row r="5" spans="2:21" s="7" customFormat="1" ht="15.6" x14ac:dyDescent="0.3">
      <c r="C5" s="7" t="s">
        <v>101</v>
      </c>
      <c r="H5" s="7" t="s">
        <v>103</v>
      </c>
      <c r="Q5" s="7" t="s">
        <v>102</v>
      </c>
      <c r="R5" s="100"/>
    </row>
    <row r="6" spans="2:21" ht="16.2" thickBot="1" x14ac:dyDescent="0.35">
      <c r="B6" s="7" t="s">
        <v>68</v>
      </c>
    </row>
    <row r="7" spans="2:21" ht="39" customHeight="1" thickBot="1" x14ac:dyDescent="0.35">
      <c r="B7" s="18" t="s">
        <v>3</v>
      </c>
      <c r="C7" s="43" t="s">
        <v>144</v>
      </c>
      <c r="D7" s="43" t="s">
        <v>133</v>
      </c>
      <c r="E7" s="24" t="s">
        <v>24</v>
      </c>
      <c r="F7" s="24" t="s">
        <v>23</v>
      </c>
      <c r="H7" s="43" t="s">
        <v>110</v>
      </c>
      <c r="I7" s="43" t="s">
        <v>99</v>
      </c>
      <c r="J7" s="43" t="s">
        <v>40</v>
      </c>
      <c r="K7" s="43" t="s">
        <v>38</v>
      </c>
      <c r="L7" s="43" t="s">
        <v>37</v>
      </c>
      <c r="M7" s="42" t="s">
        <v>31</v>
      </c>
      <c r="N7" s="42" t="s">
        <v>34</v>
      </c>
      <c r="O7" s="42" t="s">
        <v>35</v>
      </c>
      <c r="Q7" s="37" t="s">
        <v>142</v>
      </c>
      <c r="R7" s="102" t="s">
        <v>143</v>
      </c>
      <c r="S7" s="35" t="s">
        <v>87</v>
      </c>
    </row>
    <row r="8" spans="2:21" ht="12.75" customHeight="1" x14ac:dyDescent="0.25">
      <c r="B8" s="2" t="s">
        <v>7</v>
      </c>
      <c r="C8" s="55">
        <f>Q8+R8</f>
        <v>3876.0783064466514</v>
      </c>
      <c r="D8" s="45">
        <v>7701.4400000000005</v>
      </c>
      <c r="E8" s="8">
        <f t="shared" ref="E8:E13" si="0">C8-D8</f>
        <v>-3825.3616935533491</v>
      </c>
      <c r="F8" s="9">
        <f t="shared" ref="F8:F13" si="1">-1+(C8/D8)</f>
        <v>-0.49670732922068461</v>
      </c>
      <c r="H8" s="45">
        <v>4812.8006768596715</v>
      </c>
      <c r="I8" s="45">
        <v>3779.9924565869383</v>
      </c>
      <c r="J8" s="45">
        <v>4096.2880000000005</v>
      </c>
      <c r="K8" s="45">
        <v>2727.15</v>
      </c>
      <c r="L8" s="45">
        <v>2179.92</v>
      </c>
      <c r="M8" s="8">
        <v>1475.6759999999999</v>
      </c>
      <c r="N8" s="8">
        <v>1290.7760000000001</v>
      </c>
      <c r="O8" s="25">
        <v>1695</v>
      </c>
      <c r="Q8" s="32"/>
      <c r="R8" s="32">
        <f>('State eml 6-1-21 Anne Dennison'!H5+'State eml 6-1-21 Anne Dennison'!I5)*0.04</f>
        <v>3876.0783064466514</v>
      </c>
      <c r="S8" s="32">
        <f>Q8+R8</f>
        <v>3876.0783064466514</v>
      </c>
    </row>
    <row r="9" spans="2:21" ht="12.75" customHeight="1" x14ac:dyDescent="0.25">
      <c r="B9" s="2" t="s">
        <v>8</v>
      </c>
      <c r="C9" s="55">
        <f t="shared" ref="C9:C12" si="2">Q9+R9</f>
        <v>3927.6714949540496</v>
      </c>
      <c r="D9" s="45">
        <v>5081.96</v>
      </c>
      <c r="E9" s="8">
        <f t="shared" si="0"/>
        <v>-1154.2885050459504</v>
      </c>
      <c r="F9" s="9">
        <f t="shared" si="1"/>
        <v>-0.22713451208705904</v>
      </c>
      <c r="H9" s="45">
        <v>3820.5404867807806</v>
      </c>
      <c r="I9" s="45">
        <v>3149.895909943019</v>
      </c>
      <c r="J9" s="45">
        <v>3044.8360000000002</v>
      </c>
      <c r="K9" s="45">
        <v>2041.86</v>
      </c>
      <c r="L9" s="45">
        <v>1930.124</v>
      </c>
      <c r="M9" s="8">
        <v>1748.856</v>
      </c>
      <c r="N9" s="8">
        <v>1662.6520000000003</v>
      </c>
      <c r="O9" s="25">
        <v>1972</v>
      </c>
      <c r="Q9" s="32"/>
      <c r="R9" s="32">
        <f>('State eml 6-1-21 Anne Dennison'!H6+'State eml 6-1-21 Anne Dennison'!I6)*0.04</f>
        <v>3927.6714949540496</v>
      </c>
      <c r="S9" s="32">
        <f t="shared" ref="S9:S12" si="3">Q9+R9</f>
        <v>3927.6714949540496</v>
      </c>
    </row>
    <row r="10" spans="2:21" ht="12.75" customHeight="1" x14ac:dyDescent="0.25">
      <c r="B10" s="2" t="s">
        <v>9</v>
      </c>
      <c r="C10" s="55">
        <f t="shared" si="2"/>
        <v>3496.4104237140441</v>
      </c>
      <c r="D10" s="45">
        <v>5272.08</v>
      </c>
      <c r="E10" s="8">
        <f t="shared" si="0"/>
        <v>-1775.6695762859558</v>
      </c>
      <c r="F10" s="9">
        <f t="shared" si="1"/>
        <v>-0.33680626551303394</v>
      </c>
      <c r="H10" s="45">
        <v>3717.9789092758988</v>
      </c>
      <c r="I10" s="45">
        <v>2943.5529483525506</v>
      </c>
      <c r="J10" s="45">
        <v>2774.6560000000004</v>
      </c>
      <c r="K10" s="45">
        <v>1894.69</v>
      </c>
      <c r="L10" s="45">
        <v>1853.5120000000002</v>
      </c>
      <c r="M10" s="8">
        <v>1825.048</v>
      </c>
      <c r="N10" s="8">
        <v>1863.7840000000001</v>
      </c>
      <c r="O10" s="25">
        <v>1893</v>
      </c>
      <c r="Q10" s="32"/>
      <c r="R10" s="32">
        <f>('State eml 6-1-21 Anne Dennison'!H7+'State eml 6-1-21 Anne Dennison'!I7)*0.04</f>
        <v>3496.4104237140441</v>
      </c>
      <c r="S10" s="32">
        <f t="shared" si="3"/>
        <v>3496.4104237140441</v>
      </c>
    </row>
    <row r="11" spans="2:21" ht="12.75" customHeight="1" x14ac:dyDescent="0.25">
      <c r="B11" s="2" t="s">
        <v>10</v>
      </c>
      <c r="C11" s="55">
        <f t="shared" si="2"/>
        <v>12839.389961427434</v>
      </c>
      <c r="D11" s="45">
        <v>14640.880000000001</v>
      </c>
      <c r="E11" s="8">
        <f t="shared" si="0"/>
        <v>-1801.4900385725668</v>
      </c>
      <c r="F11" s="9">
        <f t="shared" si="1"/>
        <v>-0.12304520210346415</v>
      </c>
      <c r="H11" s="45">
        <v>11859.142707399747</v>
      </c>
      <c r="I11" s="45">
        <v>10263.132494274008</v>
      </c>
      <c r="J11" s="45">
        <v>8599.6200000000008</v>
      </c>
      <c r="K11" s="45">
        <v>5306.02</v>
      </c>
      <c r="L11" s="45">
        <v>4768.4340000000002</v>
      </c>
      <c r="M11" s="8">
        <v>4603.01</v>
      </c>
      <c r="N11" s="8">
        <v>4897.1880000000001</v>
      </c>
      <c r="O11" s="25">
        <v>5732</v>
      </c>
      <c r="Q11" s="32"/>
      <c r="R11" s="32">
        <f>('State eml 6-1-21 Anne Dennison'!H8+'State eml 6-1-21 Anne Dennison'!I8)*0.04</f>
        <v>12839.389961427434</v>
      </c>
      <c r="S11" s="32">
        <f t="shared" si="3"/>
        <v>12839.389961427434</v>
      </c>
    </row>
    <row r="12" spans="2:21" ht="12.75" customHeight="1" thickBot="1" x14ac:dyDescent="0.3">
      <c r="B12" s="2" t="s">
        <v>11</v>
      </c>
      <c r="C12" s="55">
        <f t="shared" si="2"/>
        <v>36209.325279813267</v>
      </c>
      <c r="D12" s="45">
        <v>49044.54</v>
      </c>
      <c r="E12" s="8">
        <f t="shared" si="0"/>
        <v>-12835.214720186734</v>
      </c>
      <c r="F12" s="9">
        <f t="shared" si="1"/>
        <v>-0.26170527280277756</v>
      </c>
      <c r="H12" s="45">
        <v>36315.694170474148</v>
      </c>
      <c r="I12" s="45">
        <v>30204.860713734772</v>
      </c>
      <c r="J12" s="45">
        <v>27773.599999999999</v>
      </c>
      <c r="K12" s="45">
        <v>17954.28</v>
      </c>
      <c r="L12" s="45">
        <v>16098</v>
      </c>
      <c r="M12" s="8">
        <v>14480.4</v>
      </c>
      <c r="N12" s="8">
        <v>14571.6</v>
      </c>
      <c r="O12" s="25">
        <v>16938</v>
      </c>
      <c r="Q12" s="32">
        <f>'State eml 6-1-21 Anne Dennison'!H9*0.1</f>
        <v>10563.218237284269</v>
      </c>
      <c r="R12" s="32">
        <f>(('State eml 6-1-21 Anne Dennison'!H9+'State eml 6-1-21 Anne Dennison'!I9)*0.06)-Q12</f>
        <v>25646.107042528998</v>
      </c>
      <c r="S12" s="32">
        <f t="shared" si="3"/>
        <v>36209.325279813267</v>
      </c>
      <c r="T12" s="32">
        <f>SUM(Q8:R11)</f>
        <v>24139.550186542179</v>
      </c>
      <c r="U12" t="s">
        <v>156</v>
      </c>
    </row>
    <row r="13" spans="2:21" ht="12.75" customHeight="1" thickBot="1" x14ac:dyDescent="0.3">
      <c r="C13" s="56">
        <f>SUM(C8:C12)</f>
        <v>60348.875466355443</v>
      </c>
      <c r="D13" s="11">
        <f>SUM(D8:D12)</f>
        <v>81740.900000000009</v>
      </c>
      <c r="E13" s="8">
        <f t="shared" si="0"/>
        <v>-21392.024533644566</v>
      </c>
      <c r="F13" s="9">
        <f t="shared" si="1"/>
        <v>-0.26170527280277756</v>
      </c>
      <c r="H13" s="45">
        <f>SUM(H8:H12)</f>
        <v>60526.156950790246</v>
      </c>
      <c r="I13" s="45">
        <f>SUM(I8:I12)</f>
        <v>50341.434522891286</v>
      </c>
      <c r="J13" s="45">
        <f t="shared" ref="J13:O13" si="4">SUM(J8:J12)</f>
        <v>46289</v>
      </c>
      <c r="K13" s="45">
        <f t="shared" si="4"/>
        <v>29924</v>
      </c>
      <c r="L13" s="45">
        <f t="shared" si="4"/>
        <v>26829.99</v>
      </c>
      <c r="M13" s="11">
        <f t="shared" si="4"/>
        <v>24132.989999999998</v>
      </c>
      <c r="N13" s="11">
        <f t="shared" si="4"/>
        <v>24286</v>
      </c>
      <c r="O13" s="26">
        <f t="shared" si="4"/>
        <v>28230</v>
      </c>
      <c r="Q13" s="118">
        <f t="shared" ref="Q13:R13" si="5">SUM(Q8:Q12)</f>
        <v>10563.218237284269</v>
      </c>
      <c r="R13" s="119">
        <f t="shared" si="5"/>
        <v>49785.657229071177</v>
      </c>
      <c r="S13" s="118">
        <f>SUM(S8:S12)</f>
        <v>60348.875466355443</v>
      </c>
      <c r="T13" s="95">
        <f>'[3]Allocation Sheet'!$D$14+'[3]Allocation Sheet'!$E$14</f>
        <v>60349</v>
      </c>
      <c r="U13" t="s">
        <v>157</v>
      </c>
    </row>
    <row r="14" spans="2:21" ht="12.75" customHeight="1" x14ac:dyDescent="0.25">
      <c r="C14" s="32"/>
      <c r="E14" s="13"/>
      <c r="F14" s="14"/>
      <c r="M14" s="13"/>
      <c r="N14" s="13"/>
      <c r="Q14" s="32"/>
      <c r="R14" s="107"/>
      <c r="S14" s="32"/>
    </row>
    <row r="15" spans="2:21" ht="17.25" customHeight="1" thickBot="1" x14ac:dyDescent="0.35">
      <c r="B15" s="7" t="s">
        <v>16</v>
      </c>
      <c r="C15" s="32"/>
      <c r="Q15" s="96"/>
    </row>
    <row r="16" spans="2:21" ht="12.75" hidden="1" customHeight="1" thickBot="1" x14ac:dyDescent="0.3">
      <c r="C16" s="53">
        <f>483473*0.9</f>
        <v>435125.7</v>
      </c>
    </row>
    <row r="17" spans="2:21" ht="42" customHeight="1" thickBot="1" x14ac:dyDescent="0.35">
      <c r="B17" s="18" t="s">
        <v>3</v>
      </c>
      <c r="C17" s="43" t="str">
        <f>C7</f>
        <v>PY21 &amp; FY22 Actual</v>
      </c>
      <c r="D17" s="43" t="str">
        <f>D7</f>
        <v>PY20 &amp; FY21 Actual</v>
      </c>
      <c r="E17" s="24" t="s">
        <v>24</v>
      </c>
      <c r="F17" s="24" t="s">
        <v>23</v>
      </c>
      <c r="H17" s="43" t="str">
        <f>H7</f>
        <v>PY19 &amp; FY20 Actual</v>
      </c>
      <c r="I17" s="43" t="str">
        <f>I7</f>
        <v>PY18 &amp; FY19 Actual</v>
      </c>
      <c r="J17" s="43" t="str">
        <f>J7</f>
        <v>PY17 &amp; FY18 Actual</v>
      </c>
      <c r="K17" s="43" t="s">
        <v>38</v>
      </c>
      <c r="L17" s="43" t="s">
        <v>37</v>
      </c>
      <c r="M17" s="42" t="s">
        <v>31</v>
      </c>
      <c r="N17" s="42" t="s">
        <v>34</v>
      </c>
      <c r="O17" s="42" t="s">
        <v>35</v>
      </c>
      <c r="Q17" s="37" t="str">
        <f>Q7</f>
        <v>PY21</v>
      </c>
      <c r="R17" s="102" t="str">
        <f>R7</f>
        <v>FY22</v>
      </c>
      <c r="S17" s="35" t="s">
        <v>87</v>
      </c>
    </row>
    <row r="18" spans="2:21" ht="12.75" customHeight="1" x14ac:dyDescent="0.25">
      <c r="B18" s="2" t="s">
        <v>7</v>
      </c>
      <c r="C18" s="55">
        <f t="shared" ref="C18:C21" si="6">Q18+R18</f>
        <v>87211.811895049643</v>
      </c>
      <c r="D18" s="45">
        <v>173282.40000000002</v>
      </c>
      <c r="E18" s="8">
        <f t="shared" ref="E18:E22" si="7">C18-D18</f>
        <v>-86070.588104950381</v>
      </c>
      <c r="F18" s="9">
        <f>-1+(C18/D18)</f>
        <v>-0.496707040674358</v>
      </c>
      <c r="H18" s="45">
        <v>108288.01522934259</v>
      </c>
      <c r="I18" s="45">
        <v>85049.830273206113</v>
      </c>
      <c r="J18" s="45">
        <v>92168.79</v>
      </c>
      <c r="K18" s="45">
        <v>61354.85</v>
      </c>
      <c r="L18" s="45">
        <v>49052.160000000003</v>
      </c>
      <c r="M18" s="8">
        <v>33207.19</v>
      </c>
      <c r="N18" s="8">
        <v>29032.03</v>
      </c>
      <c r="O18" s="25">
        <v>38132</v>
      </c>
      <c r="Q18" s="32">
        <f>'State eml 6-1-21 Anne Dennison'!H5*0.9+0.05</f>
        <v>15265.237074928547</v>
      </c>
      <c r="R18" s="32">
        <f>'State eml 6-1-21 Anne Dennison'!I5*0.9</f>
        <v>71946.574820121095</v>
      </c>
      <c r="S18" s="32">
        <f>Q18+R18</f>
        <v>87211.811895049643</v>
      </c>
    </row>
    <row r="19" spans="2:21" ht="12.75" customHeight="1" x14ac:dyDescent="0.25">
      <c r="B19" s="2" t="s">
        <v>8</v>
      </c>
      <c r="C19" s="55">
        <f t="shared" si="6"/>
        <v>88372.608636466117</v>
      </c>
      <c r="D19" s="45">
        <v>114344.1</v>
      </c>
      <c r="E19" s="8">
        <f t="shared" si="7"/>
        <v>-25971.491363533889</v>
      </c>
      <c r="F19" s="9">
        <f>-1+(C19/D19)</f>
        <v>-0.22713451208705904</v>
      </c>
      <c r="H19" s="45">
        <v>85962.160952567559</v>
      </c>
      <c r="I19" s="45">
        <v>70872.657973717927</v>
      </c>
      <c r="J19" s="45">
        <v>68509.820000000007</v>
      </c>
      <c r="K19" s="45">
        <v>45941.429999999993</v>
      </c>
      <c r="L19" s="45">
        <v>43418.810000000005</v>
      </c>
      <c r="M19" s="8">
        <v>39345.279999999999</v>
      </c>
      <c r="N19" s="8">
        <v>37399.170000000006</v>
      </c>
      <c r="O19" s="25">
        <v>44379</v>
      </c>
      <c r="Q19" s="32">
        <f>'State eml 6-1-21 Anne Dennison'!H6*0.9</f>
        <v>15468.376900337287</v>
      </c>
      <c r="R19" s="32">
        <f>'State eml 6-1-21 Anne Dennison'!I6*0.9</f>
        <v>72904.23173612883</v>
      </c>
      <c r="S19" s="32">
        <f t="shared" ref="S19:S21" si="8">Q19+R19</f>
        <v>88372.608636466117</v>
      </c>
    </row>
    <row r="20" spans="2:21" ht="12.75" customHeight="1" x14ac:dyDescent="0.25">
      <c r="B20" s="2" t="s">
        <v>9</v>
      </c>
      <c r="C20" s="55">
        <f t="shared" si="6"/>
        <v>78669.234533566007</v>
      </c>
      <c r="D20" s="45">
        <v>118621.8</v>
      </c>
      <c r="E20" s="8">
        <f t="shared" si="7"/>
        <v>-39952.565466433996</v>
      </c>
      <c r="F20" s="9">
        <f>-1+(C20/D20)</f>
        <v>-0.33680626551303383</v>
      </c>
      <c r="H20" s="45">
        <v>83654.525458707736</v>
      </c>
      <c r="I20" s="45">
        <v>66229.941337932396</v>
      </c>
      <c r="J20" s="45">
        <v>62430.770000000004</v>
      </c>
      <c r="K20" s="45">
        <v>42630.28</v>
      </c>
      <c r="L20" s="45">
        <v>41701.97</v>
      </c>
      <c r="M20" s="8">
        <v>41075.050000000003</v>
      </c>
      <c r="N20" s="8">
        <v>41938.61</v>
      </c>
      <c r="O20" s="25">
        <v>42591</v>
      </c>
      <c r="Q20" s="32">
        <f>'State eml 6-1-21 Anne Dennison'!H7*0.9</f>
        <v>13769.938321409836</v>
      </c>
      <c r="R20" s="32">
        <f>'State eml 6-1-21 Anne Dennison'!I7*0.9</f>
        <v>64899.296212156165</v>
      </c>
      <c r="S20" s="32">
        <f t="shared" si="8"/>
        <v>78669.234533566007</v>
      </c>
    </row>
    <row r="21" spans="2:21" ht="12.75" customHeight="1" thickBot="1" x14ac:dyDescent="0.3">
      <c r="B21" s="2" t="s">
        <v>10</v>
      </c>
      <c r="C21" s="55">
        <f t="shared" si="6"/>
        <v>288886.27413211728</v>
      </c>
      <c r="D21" s="45">
        <v>329419.3</v>
      </c>
      <c r="E21" s="8">
        <f t="shared" si="7"/>
        <v>-40533.025867882709</v>
      </c>
      <c r="F21" s="9">
        <f>-1+(C21/D21)</f>
        <v>-0.12304387104180814</v>
      </c>
      <c r="H21" s="45">
        <v>266830.71091649431</v>
      </c>
      <c r="I21" s="45">
        <v>230920.48112116518</v>
      </c>
      <c r="J21" s="45">
        <v>193496.62</v>
      </c>
      <c r="K21" s="45">
        <v>119387.44</v>
      </c>
      <c r="L21" s="45">
        <v>107288.06</v>
      </c>
      <c r="M21" s="8">
        <v>103558.48000000001</v>
      </c>
      <c r="N21" s="8">
        <v>110187.19</v>
      </c>
      <c r="O21" s="25">
        <v>128963</v>
      </c>
      <c r="Q21" s="32">
        <f>'State eml 6-1-21 Anne Dennison'!H8*0.9</f>
        <v>50565.461838882751</v>
      </c>
      <c r="R21" s="32">
        <f>'State eml 6-1-21 Anne Dennison'!I8*0.9</f>
        <v>238320.81229323451</v>
      </c>
      <c r="S21" s="32">
        <f t="shared" si="8"/>
        <v>288886.27413211728</v>
      </c>
    </row>
    <row r="22" spans="2:21" ht="12.75" customHeight="1" thickBot="1" x14ac:dyDescent="0.3">
      <c r="C22" s="56">
        <f>SUM(C18:C21)</f>
        <v>543139.92919719906</v>
      </c>
      <c r="D22" s="45">
        <f>SUM(D18:D21)</f>
        <v>735667.6</v>
      </c>
      <c r="E22" s="8">
        <f t="shared" si="7"/>
        <v>-192527.67080280092</v>
      </c>
      <c r="F22" s="9">
        <f>-1+(C22/D22)</f>
        <v>-0.26170470305175997</v>
      </c>
      <c r="H22" s="45">
        <f>SUM(H18:H21)</f>
        <v>544735.41255711229</v>
      </c>
      <c r="I22" s="45">
        <f>SUM(I18:I21)</f>
        <v>453072.91070602159</v>
      </c>
      <c r="J22" s="45">
        <f t="shared" ref="J22:O22" si="9">SUM(J18:J21)</f>
        <v>416606</v>
      </c>
      <c r="K22" s="45">
        <f t="shared" si="9"/>
        <v>269314</v>
      </c>
      <c r="L22" s="45">
        <f t="shared" si="9"/>
        <v>241461</v>
      </c>
      <c r="M22" s="11">
        <f t="shared" si="9"/>
        <v>217186</v>
      </c>
      <c r="N22" s="11">
        <f t="shared" si="9"/>
        <v>218557</v>
      </c>
      <c r="O22" s="26">
        <f t="shared" si="9"/>
        <v>254065</v>
      </c>
      <c r="Q22" s="120">
        <f>SUM(Q18:Q21)</f>
        <v>95069.01413555842</v>
      </c>
      <c r="R22" s="121">
        <f>SUM(R18:R21)</f>
        <v>448070.91506164055</v>
      </c>
      <c r="S22" s="120">
        <f>SUM(S18:S21)</f>
        <v>543139.92919719906</v>
      </c>
    </row>
    <row r="23" spans="2:21" ht="12.75" customHeight="1" x14ac:dyDescent="0.25">
      <c r="C23" s="32">
        <f>+C22+C13</f>
        <v>603488.80466355453</v>
      </c>
      <c r="D23" s="13">
        <f>'Scott 5-29-19'!G11</f>
        <v>605261.56950790249</v>
      </c>
      <c r="E23" s="13"/>
      <c r="F23" s="14"/>
      <c r="H23" s="13"/>
      <c r="I23" s="13"/>
      <c r="J23" s="13"/>
      <c r="K23" s="13"/>
      <c r="L23" s="13"/>
      <c r="M23" s="13"/>
      <c r="N23" s="13"/>
      <c r="Q23" s="32"/>
      <c r="R23" s="107"/>
      <c r="S23" s="32"/>
    </row>
    <row r="24" spans="2:21" ht="12.75" customHeight="1" x14ac:dyDescent="0.25">
      <c r="C24" s="32"/>
      <c r="L24" s="32"/>
    </row>
    <row r="25" spans="2:21" ht="18.75" customHeight="1" thickBot="1" x14ac:dyDescent="0.35">
      <c r="B25" s="7" t="s">
        <v>69</v>
      </c>
      <c r="L25" s="32"/>
    </row>
    <row r="26" spans="2:21" ht="40.5" customHeight="1" thickBot="1" x14ac:dyDescent="0.35">
      <c r="B26" s="18" t="s">
        <v>3</v>
      </c>
      <c r="C26" s="43" t="str">
        <f>C7</f>
        <v>PY21 &amp; FY22 Actual</v>
      </c>
      <c r="D26" s="43" t="str">
        <f>D7</f>
        <v>PY20 &amp; FY21 Actual</v>
      </c>
      <c r="E26" s="24" t="s">
        <v>24</v>
      </c>
      <c r="F26" s="24" t="s">
        <v>23</v>
      </c>
      <c r="H26" s="43" t="str">
        <f>H7</f>
        <v>PY19 &amp; FY20 Actual</v>
      </c>
      <c r="I26" s="43" t="str">
        <f>I7</f>
        <v>PY18 &amp; FY19 Actual</v>
      </c>
      <c r="J26" s="43" t="str">
        <f>J7</f>
        <v>PY17 &amp; FY18 Actual</v>
      </c>
      <c r="K26" s="43" t="s">
        <v>38</v>
      </c>
      <c r="L26" s="47" t="s">
        <v>37</v>
      </c>
      <c r="M26" s="42" t="s">
        <v>31</v>
      </c>
      <c r="N26" s="42" t="s">
        <v>34</v>
      </c>
      <c r="O26" s="42" t="s">
        <v>35</v>
      </c>
      <c r="Q26" s="37" t="str">
        <f>Q7</f>
        <v>PY21</v>
      </c>
      <c r="R26" s="102" t="str">
        <f>R7</f>
        <v>FY22</v>
      </c>
      <c r="S26" s="35" t="s">
        <v>87</v>
      </c>
    </row>
    <row r="27" spans="2:21" ht="12.75" customHeight="1" x14ac:dyDescent="0.25">
      <c r="B27" s="2" t="s">
        <v>7</v>
      </c>
      <c r="C27" s="55">
        <f t="shared" ref="C27:C31" si="10">Q27+R27</f>
        <v>4693.2429779624936</v>
      </c>
      <c r="D27" s="45">
        <v>9583.84</v>
      </c>
      <c r="E27" s="8">
        <f t="shared" ref="E27:E32" si="11">C27-D27</f>
        <v>-4890.5970220375066</v>
      </c>
      <c r="F27" s="9">
        <f t="shared" ref="F27:F32" si="12">-1+(C27/D27)</f>
        <v>-0.51029618837934554</v>
      </c>
      <c r="H27" s="45">
        <v>7669.385815403326</v>
      </c>
      <c r="I27" s="45">
        <v>7554.1480692834621</v>
      </c>
      <c r="J27" s="45">
        <v>8622.4279999999999</v>
      </c>
      <c r="K27" s="45">
        <v>6979.96</v>
      </c>
      <c r="L27" s="31">
        <v>6776.4679999999998</v>
      </c>
      <c r="M27" s="8">
        <v>5304.4</v>
      </c>
      <c r="N27" s="8">
        <v>4807.5999999999995</v>
      </c>
      <c r="O27" s="25">
        <v>1270</v>
      </c>
      <c r="Q27" s="32"/>
      <c r="R27" s="32">
        <f>('State eml 6-1-21 Anne Dennison'!K5+'State eml 6-1-21 Anne Dennison'!L5)*0.04</f>
        <v>4693.2429779624936</v>
      </c>
      <c r="S27" s="32">
        <f>Q27+R27</f>
        <v>4693.2429779624936</v>
      </c>
    </row>
    <row r="28" spans="2:21" ht="12.75" customHeight="1" x14ac:dyDescent="0.25">
      <c r="B28" s="2" t="s">
        <v>8</v>
      </c>
      <c r="C28" s="55">
        <f t="shared" si="10"/>
        <v>3341.6025358691568</v>
      </c>
      <c r="D28" s="45">
        <v>3880.56</v>
      </c>
      <c r="E28" s="8">
        <f t="shared" si="11"/>
        <v>-538.95746413084316</v>
      </c>
      <c r="F28" s="9">
        <f t="shared" si="12"/>
        <v>-0.13888651744357594</v>
      </c>
      <c r="H28" s="45">
        <v>3757.5165682195448</v>
      </c>
      <c r="I28" s="45">
        <v>3908.0299431410194</v>
      </c>
      <c r="J28" s="45">
        <v>3691.6480000000001</v>
      </c>
      <c r="K28" s="45">
        <v>3044.95</v>
      </c>
      <c r="L28" s="31">
        <v>2736.0960000000005</v>
      </c>
      <c r="M28" s="8">
        <v>2617.1999999999998</v>
      </c>
      <c r="N28" s="8">
        <v>1628.8</v>
      </c>
      <c r="O28" s="25">
        <v>1837</v>
      </c>
      <c r="Q28" s="32"/>
      <c r="R28" s="32">
        <f>('State eml 6-1-21 Anne Dennison'!K6+'State eml 6-1-21 Anne Dennison'!L6)*0.04</f>
        <v>3341.6025358691568</v>
      </c>
      <c r="S28" s="32">
        <f t="shared" ref="S28:S31" si="13">Q28+R28</f>
        <v>3341.6025358691568</v>
      </c>
    </row>
    <row r="29" spans="2:21" ht="12.75" customHeight="1" x14ac:dyDescent="0.25">
      <c r="B29" s="2" t="s">
        <v>9</v>
      </c>
      <c r="C29" s="55">
        <f t="shared" si="10"/>
        <v>2967.3678637566964</v>
      </c>
      <c r="D29" s="45">
        <v>4412.12</v>
      </c>
      <c r="E29" s="8">
        <f t="shared" si="11"/>
        <v>-1444.7521362433035</v>
      </c>
      <c r="F29" s="9">
        <f t="shared" si="12"/>
        <v>-0.3274507801789851</v>
      </c>
      <c r="H29" s="45">
        <v>3767.2592348762428</v>
      </c>
      <c r="I29" s="45">
        <v>3338.778648922264</v>
      </c>
      <c r="J29" s="45">
        <v>3056.2640000000001</v>
      </c>
      <c r="K29" s="45">
        <v>2332.54</v>
      </c>
      <c r="L29" s="31">
        <v>2299.6760000000004</v>
      </c>
      <c r="M29" s="8">
        <v>2155.6</v>
      </c>
      <c r="N29" s="8">
        <v>1252.4000000000001</v>
      </c>
      <c r="O29" s="25">
        <v>1452</v>
      </c>
      <c r="Q29" s="32"/>
      <c r="R29" s="32">
        <f>('State eml 6-1-21 Anne Dennison'!K7+'State eml 6-1-21 Anne Dennison'!L7)*0.04</f>
        <v>2967.3678637566964</v>
      </c>
      <c r="S29" s="32">
        <f t="shared" si="13"/>
        <v>2967.3678637566964</v>
      </c>
    </row>
    <row r="30" spans="2:21" ht="12.75" customHeight="1" x14ac:dyDescent="0.25">
      <c r="B30" s="2" t="s">
        <v>10</v>
      </c>
      <c r="C30" s="55">
        <f t="shared" si="10"/>
        <v>9232.1473693654243</v>
      </c>
      <c r="D30" s="45">
        <v>8396.2000000000007</v>
      </c>
      <c r="E30" s="8">
        <f t="shared" si="11"/>
        <v>835.94736936542358</v>
      </c>
      <c r="F30" s="9">
        <f t="shared" si="12"/>
        <v>9.9562584188731096E-2</v>
      </c>
      <c r="H30" s="45">
        <v>9035.5374379610457</v>
      </c>
      <c r="I30" s="45">
        <v>9824.8361513837026</v>
      </c>
      <c r="J30" s="45">
        <v>7702.5</v>
      </c>
      <c r="K30" s="45">
        <v>6123.6900000000005</v>
      </c>
      <c r="L30" s="31">
        <v>5968.1600000000008</v>
      </c>
      <c r="M30" s="8">
        <v>4754</v>
      </c>
      <c r="N30" s="8">
        <v>2608</v>
      </c>
      <c r="O30" s="25">
        <v>4537</v>
      </c>
      <c r="Q30" s="32"/>
      <c r="R30" s="32">
        <f>('State eml 6-1-21 Anne Dennison'!K8+'State eml 6-1-21 Anne Dennison'!L8)*0.04</f>
        <v>9232.1473693654243</v>
      </c>
      <c r="S30" s="32">
        <f t="shared" si="13"/>
        <v>9232.1473693654243</v>
      </c>
    </row>
    <row r="31" spans="2:21" ht="12.75" customHeight="1" thickBot="1" x14ac:dyDescent="0.3">
      <c r="B31" s="2" t="s">
        <v>11</v>
      </c>
      <c r="C31" s="55">
        <f t="shared" si="10"/>
        <v>30351.541120430658</v>
      </c>
      <c r="D31" s="45">
        <v>39409.079999999994</v>
      </c>
      <c r="E31" s="8">
        <f t="shared" si="11"/>
        <v>-9057.5388795693361</v>
      </c>
      <c r="F31" s="9">
        <f t="shared" si="12"/>
        <v>-0.22983380681734611</v>
      </c>
      <c r="H31" s="45">
        <v>36344.548584690237</v>
      </c>
      <c r="I31" s="45">
        <v>36938.689219095671</v>
      </c>
      <c r="J31" s="45">
        <v>34610.160000000003</v>
      </c>
      <c r="K31" s="45">
        <v>27718.86</v>
      </c>
      <c r="L31" s="31">
        <v>26670.6</v>
      </c>
      <c r="M31" s="8">
        <v>22249.8</v>
      </c>
      <c r="N31" s="8">
        <v>15445.2</v>
      </c>
      <c r="O31" s="25">
        <v>13644</v>
      </c>
      <c r="Q31" s="32">
        <f>'State eml 6-1-21 Anne Dennison'!K9*0.1</f>
        <v>9626.1699201544379</v>
      </c>
      <c r="R31" s="32">
        <f>(('State eml 6-1-21 Anne Dennison'!K9+'State eml 6-1-21 Anne Dennison'!L9)*0.06)-'7-01-2021 to 6-30-2022'!Q31</f>
        <v>20725.371200276219</v>
      </c>
      <c r="S31" s="32">
        <f t="shared" si="13"/>
        <v>30351.541120430658</v>
      </c>
      <c r="T31" s="32">
        <f>SUM(Q27:R30)</f>
        <v>20234.360746953771</v>
      </c>
      <c r="U31" t="s">
        <v>156</v>
      </c>
    </row>
    <row r="32" spans="2:21" ht="12.75" customHeight="1" thickBot="1" x14ac:dyDescent="0.3">
      <c r="C32" s="56">
        <f>SUM(C27:C31)</f>
        <v>50585.901867384426</v>
      </c>
      <c r="D32" s="45">
        <f>SUM(D27:D31)</f>
        <v>65681.799999999988</v>
      </c>
      <c r="E32" s="8">
        <f t="shared" si="11"/>
        <v>-15095.898132615563</v>
      </c>
      <c r="F32" s="9">
        <f t="shared" si="12"/>
        <v>-0.22983380681734611</v>
      </c>
      <c r="H32" s="45">
        <f>SUM(H27:H31)</f>
        <v>60574.247641150396</v>
      </c>
      <c r="I32" s="45">
        <f>SUM(I27:I31)</f>
        <v>61564.482031826119</v>
      </c>
      <c r="J32" s="45">
        <f t="shared" ref="J32:O32" si="14">SUM(J27:J31)</f>
        <v>57683</v>
      </c>
      <c r="K32" s="45">
        <f t="shared" si="14"/>
        <v>46200</v>
      </c>
      <c r="L32" s="31">
        <f t="shared" si="14"/>
        <v>44451</v>
      </c>
      <c r="M32" s="11">
        <f t="shared" si="14"/>
        <v>37081</v>
      </c>
      <c r="N32" s="11">
        <f t="shared" si="14"/>
        <v>25742</v>
      </c>
      <c r="O32" s="26">
        <f t="shared" si="14"/>
        <v>22740</v>
      </c>
      <c r="Q32" s="118">
        <f t="shared" ref="Q32:R32" si="15">SUM(Q27:Q31)</f>
        <v>9626.1699201544379</v>
      </c>
      <c r="R32" s="119">
        <f t="shared" si="15"/>
        <v>40959.731947229986</v>
      </c>
      <c r="S32" s="118">
        <f>SUM(S27:S31)</f>
        <v>50585.901867384426</v>
      </c>
      <c r="T32" s="95">
        <f>'[3]Allocation Sheet'!$D$15+'[3]Allocation Sheet'!$E$15</f>
        <v>50586</v>
      </c>
      <c r="U32" t="s">
        <v>157</v>
      </c>
    </row>
    <row r="33" spans="2:20" ht="12.75" customHeight="1" x14ac:dyDescent="0.25">
      <c r="C33" s="32"/>
      <c r="E33" s="13"/>
      <c r="F33" s="14"/>
      <c r="L33" s="32"/>
      <c r="M33" s="13"/>
      <c r="N33" s="13"/>
      <c r="Q33" s="32"/>
      <c r="R33" s="107"/>
      <c r="S33" s="32"/>
    </row>
    <row r="34" spans="2:20" ht="12.75" customHeight="1" x14ac:dyDescent="0.25">
      <c r="C34" s="32"/>
      <c r="E34" s="13"/>
      <c r="F34" s="14"/>
      <c r="L34" s="32"/>
      <c r="M34" s="13"/>
      <c r="N34" s="13"/>
      <c r="Q34" s="96"/>
    </row>
    <row r="35" spans="2:20" ht="18" customHeight="1" thickBot="1" x14ac:dyDescent="0.35">
      <c r="B35" s="7" t="s">
        <v>18</v>
      </c>
      <c r="L35" s="32"/>
    </row>
    <row r="36" spans="2:20" ht="40.5" customHeight="1" thickBot="1" x14ac:dyDescent="0.35">
      <c r="B36" s="18" t="s">
        <v>3</v>
      </c>
      <c r="C36" s="43" t="str">
        <f>C7</f>
        <v>PY21 &amp; FY22 Actual</v>
      </c>
      <c r="D36" s="43" t="str">
        <f>D7</f>
        <v>PY20 &amp; FY21 Actual</v>
      </c>
      <c r="E36" s="24" t="s">
        <v>24</v>
      </c>
      <c r="F36" s="24" t="s">
        <v>23</v>
      </c>
      <c r="H36" s="43" t="str">
        <f>H7</f>
        <v>PY19 &amp; FY20 Actual</v>
      </c>
      <c r="I36" s="43" t="str">
        <f>I7</f>
        <v>PY18 &amp; FY19 Actual</v>
      </c>
      <c r="J36" s="43" t="str">
        <f>J7</f>
        <v>PY17 &amp; FY18 Actual</v>
      </c>
      <c r="K36" s="43" t="s">
        <v>38</v>
      </c>
      <c r="L36" s="47" t="s">
        <v>37</v>
      </c>
      <c r="M36" s="42" t="s">
        <v>31</v>
      </c>
      <c r="N36" s="42" t="s">
        <v>34</v>
      </c>
      <c r="O36" s="42" t="s">
        <v>35</v>
      </c>
      <c r="Q36" s="37" t="str">
        <f>Q26</f>
        <v>PY21</v>
      </c>
      <c r="R36" s="102" t="str">
        <f>R26</f>
        <v>FY22</v>
      </c>
      <c r="S36" s="35" t="s">
        <v>87</v>
      </c>
    </row>
    <row r="37" spans="2:20" ht="12.75" customHeight="1" x14ac:dyDescent="0.25">
      <c r="B37" s="2" t="s">
        <v>7</v>
      </c>
      <c r="C37" s="55">
        <f t="shared" ref="C37:C40" si="16">Q37+R37</f>
        <v>105598.96700415612</v>
      </c>
      <c r="D37" s="45">
        <v>215636.40000000002</v>
      </c>
      <c r="E37" s="8">
        <f>C37-D37</f>
        <v>-110037.4329958439</v>
      </c>
      <c r="F37" s="9">
        <f>-1+(C37/D37)</f>
        <v>-0.5102915509433652</v>
      </c>
      <c r="H37" s="45">
        <v>172561.18084657483</v>
      </c>
      <c r="I37" s="45">
        <v>169968.33155887789</v>
      </c>
      <c r="J37" s="45">
        <v>194000.71000000002</v>
      </c>
      <c r="K37" s="45">
        <v>157036.51</v>
      </c>
      <c r="L37" s="31">
        <v>152464.54999999999</v>
      </c>
      <c r="M37" s="8">
        <v>119359</v>
      </c>
      <c r="N37" s="8">
        <v>108168</v>
      </c>
      <c r="O37" s="25">
        <v>28583</v>
      </c>
      <c r="Q37" s="32">
        <f>'State eml 6-1-21 Anne Dennison'!K5*0.9+1</f>
        <v>20095.610080684666</v>
      </c>
      <c r="R37" s="32">
        <f>'State eml 6-1-21 Anne Dennison'!L5*0.9</f>
        <v>85503.356923471452</v>
      </c>
      <c r="S37" s="32">
        <f>Q37+R37</f>
        <v>105598.96700415612</v>
      </c>
    </row>
    <row r="38" spans="2:20" ht="12.75" customHeight="1" x14ac:dyDescent="0.25">
      <c r="B38" s="2" t="s">
        <v>8</v>
      </c>
      <c r="C38" s="55">
        <f t="shared" si="16"/>
        <v>75186.057057056038</v>
      </c>
      <c r="D38" s="45">
        <v>87312.599999999991</v>
      </c>
      <c r="E38" s="8">
        <f>C38-D38</f>
        <v>-12126.542942943954</v>
      </c>
      <c r="F38" s="9">
        <f>-1+(C38/D38)</f>
        <v>-0.13888651744357583</v>
      </c>
      <c r="H38" s="45">
        <v>84544.122784939755</v>
      </c>
      <c r="I38" s="45">
        <v>87930.67372067293</v>
      </c>
      <c r="J38" s="45">
        <v>83063.359999999986</v>
      </c>
      <c r="K38" s="45">
        <v>68508.66</v>
      </c>
      <c r="L38" s="31">
        <v>61567.9</v>
      </c>
      <c r="M38" s="8">
        <v>58892</v>
      </c>
      <c r="N38" s="8">
        <v>36638</v>
      </c>
      <c r="O38" s="25">
        <v>41330</v>
      </c>
      <c r="Q38" s="32">
        <f>'State eml 6-1-21 Anne Dennison'!K6*0.9</f>
        <v>14307.420331360992</v>
      </c>
      <c r="R38" s="32">
        <f>'State eml 6-1-21 Anne Dennison'!L6*0.9</f>
        <v>60878.63672569504</v>
      </c>
      <c r="S38" s="32">
        <f t="shared" ref="S38:S40" si="17">Q38+R38</f>
        <v>75186.057057056038</v>
      </c>
    </row>
    <row r="39" spans="2:20" ht="12.75" customHeight="1" x14ac:dyDescent="0.25">
      <c r="B39" s="2" t="s">
        <v>9</v>
      </c>
      <c r="C39" s="55">
        <f t="shared" si="16"/>
        <v>66765.776934525667</v>
      </c>
      <c r="D39" s="45">
        <v>99272.700000000012</v>
      </c>
      <c r="E39" s="8">
        <f>C39-D39</f>
        <v>-32506.923065474344</v>
      </c>
      <c r="F39" s="9">
        <f>-1+(C39/D39)</f>
        <v>-0.32745078017898521</v>
      </c>
      <c r="H39" s="45">
        <v>84763.332784715458</v>
      </c>
      <c r="I39" s="45">
        <v>75122.519600750951</v>
      </c>
      <c r="J39" s="45">
        <v>68763.22</v>
      </c>
      <c r="K39" s="45">
        <v>52464.71</v>
      </c>
      <c r="L39" s="31">
        <v>51740.75</v>
      </c>
      <c r="M39" s="8">
        <v>48509</v>
      </c>
      <c r="N39" s="8">
        <v>28172</v>
      </c>
      <c r="O39" s="25">
        <v>32670</v>
      </c>
      <c r="Q39" s="32">
        <f>'State eml 6-1-21 Anne Dennison'!K7*0.9</f>
        <v>12705.095489011255</v>
      </c>
      <c r="R39" s="32">
        <f>'State eml 6-1-21 Anne Dennison'!L7*0.9</f>
        <v>54060.681445514412</v>
      </c>
      <c r="S39" s="32">
        <f t="shared" si="17"/>
        <v>66765.776934525667</v>
      </c>
    </row>
    <row r="40" spans="2:20" ht="12.75" customHeight="1" thickBot="1" x14ac:dyDescent="0.3">
      <c r="B40" s="2" t="s">
        <v>10</v>
      </c>
      <c r="C40" s="55">
        <f t="shared" si="16"/>
        <v>207722.31581072207</v>
      </c>
      <c r="D40" s="45">
        <v>188914</v>
      </c>
      <c r="E40" s="46">
        <f>C40-D40</f>
        <v>18808.315810722066</v>
      </c>
      <c r="F40" s="9">
        <f>-1+(C40/D40)</f>
        <v>9.9560200994749382E-2</v>
      </c>
      <c r="H40" s="45">
        <v>203299.59235412348</v>
      </c>
      <c r="I40" s="45">
        <v>221058.8134061333</v>
      </c>
      <c r="J40" s="45">
        <v>173301.71</v>
      </c>
      <c r="K40" s="45">
        <v>137771.12</v>
      </c>
      <c r="L40" s="50">
        <v>134289.79999999999</v>
      </c>
      <c r="M40" s="8">
        <v>106973</v>
      </c>
      <c r="N40" s="8">
        <v>58678</v>
      </c>
      <c r="O40" s="25">
        <v>102070</v>
      </c>
      <c r="Q40" s="32">
        <f>'State eml 6-1-21 Anne Dennison'!K8*0.9</f>
        <v>39528.403380333024</v>
      </c>
      <c r="R40" s="32">
        <f>'State eml 6-1-21 Anne Dennison'!L8*0.9-1</f>
        <v>168193.91243038906</v>
      </c>
      <c r="S40" s="32">
        <f t="shared" si="17"/>
        <v>207722.31581072207</v>
      </c>
    </row>
    <row r="41" spans="2:20" ht="12.75" customHeight="1" thickBot="1" x14ac:dyDescent="0.3">
      <c r="C41" s="56">
        <f>SUM(C37:C40)</f>
        <v>455273.11680645985</v>
      </c>
      <c r="D41" s="45">
        <f>SUM(D37:D40)</f>
        <v>591135.69999999995</v>
      </c>
      <c r="E41" s="45">
        <f t="shared" ref="E41" si="18">SUM(E37:E40)</f>
        <v>-135862.58319354014</v>
      </c>
      <c r="F41" s="39">
        <f>-1+(C41/D41)</f>
        <v>-0.2298331553880778</v>
      </c>
      <c r="H41" s="45">
        <f>SUM(H37:H40)</f>
        <v>545168.2287703536</v>
      </c>
      <c r="I41" s="45">
        <f>SUM(I37:I40)</f>
        <v>554080.33828643512</v>
      </c>
      <c r="J41" s="45">
        <f>SUM(J37:J40)</f>
        <v>519129</v>
      </c>
      <c r="K41" s="45">
        <f>SUM(K37:K40)</f>
        <v>415781</v>
      </c>
      <c r="L41" s="31">
        <f t="shared" ref="L41" si="19">SUM(L37:L40)</f>
        <v>400062.99999999994</v>
      </c>
      <c r="M41" s="11">
        <f>SUM(M37:M40)</f>
        <v>333733</v>
      </c>
      <c r="N41" s="11">
        <f>SUM(N37:N40)</f>
        <v>231656</v>
      </c>
      <c r="O41" s="26">
        <f>SUM(O37:O40)</f>
        <v>204653</v>
      </c>
      <c r="Q41" s="120">
        <f>SUM(Q37:Q40)-1</f>
        <v>86635.529281389929</v>
      </c>
      <c r="R41" s="121">
        <f>SUM(R37:R40)</f>
        <v>368636.58752506995</v>
      </c>
      <c r="S41" s="120">
        <f>SUM(S37:S40)</f>
        <v>455273.11680645985</v>
      </c>
    </row>
    <row r="42" spans="2:20" ht="12.75" customHeight="1" x14ac:dyDescent="0.25">
      <c r="C42" s="32">
        <f>C41+C32</f>
        <v>505859.01867384429</v>
      </c>
      <c r="D42" s="13">
        <f>'Scott 5-29-19'!L11</f>
        <v>605742.47641150397</v>
      </c>
      <c r="E42" s="13"/>
      <c r="F42" s="14"/>
      <c r="H42" s="13"/>
      <c r="I42" s="13"/>
      <c r="J42" s="13"/>
      <c r="K42" s="13"/>
      <c r="L42" s="32"/>
      <c r="M42" s="13"/>
      <c r="N42" s="13"/>
      <c r="Q42" s="32"/>
      <c r="R42" s="107"/>
      <c r="S42" s="32"/>
    </row>
    <row r="43" spans="2:20" ht="12.75" customHeight="1" x14ac:dyDescent="0.25">
      <c r="C43" s="32"/>
      <c r="L43" s="32"/>
    </row>
    <row r="44" spans="2:20" ht="12.75" hidden="1" customHeight="1" x14ac:dyDescent="0.25">
      <c r="C44" s="32"/>
      <c r="L44" s="32"/>
    </row>
    <row r="45" spans="2:20" ht="12.75" hidden="1" customHeight="1" x14ac:dyDescent="0.25">
      <c r="C45" s="32"/>
      <c r="L45" s="32"/>
    </row>
    <row r="46" spans="2:20" ht="17.25" customHeight="1" x14ac:dyDescent="0.3">
      <c r="B46" s="7" t="s">
        <v>70</v>
      </c>
      <c r="C46" s="32"/>
      <c r="L46" s="32"/>
    </row>
    <row r="47" spans="2:20" ht="12.75" customHeight="1" x14ac:dyDescent="0.25">
      <c r="B47" s="18" t="s">
        <v>3</v>
      </c>
      <c r="C47" s="51" t="s">
        <v>145</v>
      </c>
      <c r="D47" s="51" t="s">
        <v>134</v>
      </c>
      <c r="E47" s="24" t="s">
        <v>24</v>
      </c>
      <c r="F47" s="24" t="s">
        <v>23</v>
      </c>
      <c r="H47" s="51" t="s">
        <v>111</v>
      </c>
      <c r="I47" s="51" t="s">
        <v>135</v>
      </c>
      <c r="J47" s="51" t="s">
        <v>43</v>
      </c>
      <c r="K47" s="51" t="s">
        <v>36</v>
      </c>
      <c r="L47" s="51" t="s">
        <v>136</v>
      </c>
      <c r="M47" s="36" t="s">
        <v>137</v>
      </c>
      <c r="N47" s="36" t="s">
        <v>138</v>
      </c>
      <c r="O47" s="33" t="s">
        <v>21</v>
      </c>
      <c r="R47" s="107"/>
    </row>
    <row r="48" spans="2:20" ht="12.75" customHeight="1" x14ac:dyDescent="0.25">
      <c r="B48" s="2" t="s">
        <v>7</v>
      </c>
      <c r="C48" s="30">
        <f>'State eml 6-1-21 Anne Dennison'!E5*0.04</f>
        <v>3910.4184725694954</v>
      </c>
      <c r="D48" s="30">
        <v>7997.72</v>
      </c>
      <c r="E48" s="8">
        <f t="shared" ref="E48:E53" si="20">C48-D48</f>
        <v>-4087.3015274305048</v>
      </c>
      <c r="F48" s="9">
        <f t="shared" ref="F48:F53" si="21">-1+(C48/D48)</f>
        <v>-0.51105834255644167</v>
      </c>
      <c r="H48" s="30">
        <v>4921.2379251626808</v>
      </c>
      <c r="I48" s="30">
        <v>3853.2622609954697</v>
      </c>
      <c r="J48" s="30">
        <v>4253.3999999999996</v>
      </c>
      <c r="K48" s="30">
        <v>2799.01</v>
      </c>
      <c r="L48" s="30">
        <v>2190.2959999999998</v>
      </c>
      <c r="M48" s="8">
        <v>1442.6440000000002</v>
      </c>
      <c r="N48" s="8">
        <v>1293.8320000000001</v>
      </c>
      <c r="O48" s="29">
        <v>2036</v>
      </c>
      <c r="R48" s="107"/>
      <c r="T48" s="96"/>
    </row>
    <row r="49" spans="2:23" ht="12.75" customHeight="1" x14ac:dyDescent="0.25">
      <c r="B49" s="2" t="s">
        <v>8</v>
      </c>
      <c r="C49" s="30">
        <f>'State eml 6-1-21 Anne Dennison'!E6*0.04</f>
        <v>4114.3777660585465</v>
      </c>
      <c r="D49" s="30">
        <v>5278.68</v>
      </c>
      <c r="E49" s="8">
        <f t="shared" si="20"/>
        <v>-1164.3022339414538</v>
      </c>
      <c r="F49" s="9">
        <f t="shared" si="21"/>
        <v>-0.22056692846345183</v>
      </c>
      <c r="H49" s="30">
        <v>3940.7546689156206</v>
      </c>
      <c r="I49" s="30">
        <v>3248.1932610225649</v>
      </c>
      <c r="J49" s="30">
        <v>3147.7200000000003</v>
      </c>
      <c r="K49" s="30">
        <v>2080.59</v>
      </c>
      <c r="L49" s="30">
        <v>1943.5160000000001</v>
      </c>
      <c r="M49" s="8">
        <v>1759.3200000000002</v>
      </c>
      <c r="N49" s="8">
        <v>1737.36</v>
      </c>
      <c r="O49" s="30">
        <v>2688</v>
      </c>
      <c r="R49" s="107"/>
      <c r="T49" s="96"/>
    </row>
    <row r="50" spans="2:23" ht="12.75" customHeight="1" x14ac:dyDescent="0.25">
      <c r="B50" s="2" t="s">
        <v>9</v>
      </c>
      <c r="C50" s="30">
        <f>'State eml 6-1-21 Anne Dennison'!E7*0.04</f>
        <v>2840.1259390385612</v>
      </c>
      <c r="D50" s="30">
        <v>5019.5600000000004</v>
      </c>
      <c r="E50" s="8">
        <f t="shared" si="20"/>
        <v>-2179.4340609614392</v>
      </c>
      <c r="F50" s="9">
        <f t="shared" si="21"/>
        <v>-0.43418826768908814</v>
      </c>
      <c r="H50" s="30">
        <v>3371.3087341660712</v>
      </c>
      <c r="I50" s="30">
        <v>2636.2756834755978</v>
      </c>
      <c r="J50" s="30">
        <v>2567.08</v>
      </c>
      <c r="K50" s="30">
        <v>1596.86</v>
      </c>
      <c r="L50" s="30">
        <v>1481.4960000000001</v>
      </c>
      <c r="M50" s="8">
        <v>1488.2280000000001</v>
      </c>
      <c r="N50" s="8">
        <v>1584.924</v>
      </c>
      <c r="O50" s="30">
        <v>1915</v>
      </c>
      <c r="R50" s="107"/>
      <c r="T50" s="96"/>
      <c r="V50" s="95">
        <f>T52+T31+T12</f>
        <v>69082.010194212067</v>
      </c>
      <c r="W50" t="s">
        <v>158</v>
      </c>
    </row>
    <row r="51" spans="2:23" ht="12.75" customHeight="1" x14ac:dyDescent="0.25">
      <c r="B51" s="2" t="s">
        <v>10</v>
      </c>
      <c r="C51" s="30">
        <f>'State eml 6-1-21 Anne Dennison'!E8*0.04</f>
        <v>13843.177083049515</v>
      </c>
      <c r="D51" s="30">
        <v>15374.48</v>
      </c>
      <c r="E51" s="8">
        <f t="shared" si="20"/>
        <v>-1531.3029169504844</v>
      </c>
      <c r="F51" s="9">
        <f t="shared" si="21"/>
        <v>-9.9600306283561091E-2</v>
      </c>
      <c r="H51" s="30">
        <v>12433.9576300176</v>
      </c>
      <c r="I51" s="30">
        <v>10775.808739940587</v>
      </c>
      <c r="J51" s="30">
        <v>8923.56</v>
      </c>
      <c r="K51" s="30">
        <v>5418.14</v>
      </c>
      <c r="L51" s="30">
        <v>4796.2920000000004</v>
      </c>
      <c r="M51" s="8">
        <v>4646.2080000000005</v>
      </c>
      <c r="N51" s="8">
        <v>5179.0839999999998</v>
      </c>
      <c r="O51" s="30">
        <v>5158</v>
      </c>
      <c r="T51" s="96"/>
    </row>
    <row r="52" spans="2:23" ht="12.75" customHeight="1" thickBot="1" x14ac:dyDescent="0.3">
      <c r="B52" s="2" t="s">
        <v>11</v>
      </c>
      <c r="C52" s="30">
        <f>'State eml 6-1-21 Anne Dennison'!E9*0.06</f>
        <v>37062.148891074175</v>
      </c>
      <c r="D52" s="30">
        <v>50505.659999999996</v>
      </c>
      <c r="E52" s="8">
        <f t="shared" si="20"/>
        <v>-13443.511108925821</v>
      </c>
      <c r="F52" s="9">
        <f t="shared" si="21"/>
        <v>-0.26617830771691375</v>
      </c>
      <c r="H52" s="52">
        <v>37000.888437392954</v>
      </c>
      <c r="I52" s="52">
        <v>30770.309918151328</v>
      </c>
      <c r="J52" s="52">
        <v>28337.239999999998</v>
      </c>
      <c r="K52" s="30">
        <v>17843.399999999998</v>
      </c>
      <c r="L52" s="52">
        <v>15617.4</v>
      </c>
      <c r="M52" s="8">
        <v>14004.6</v>
      </c>
      <c r="N52" s="8">
        <v>14692.8</v>
      </c>
      <c r="O52" s="30">
        <v>17696</v>
      </c>
      <c r="T52" s="96">
        <f>SUM(C48:C51)</f>
        <v>24708.099260716117</v>
      </c>
      <c r="U52" t="s">
        <v>156</v>
      </c>
    </row>
    <row r="53" spans="2:23" ht="12.75" customHeight="1" thickBot="1" x14ac:dyDescent="0.3">
      <c r="C53" s="56">
        <f>SUM(C48:C52)</f>
        <v>61770.248151790292</v>
      </c>
      <c r="D53" s="11">
        <f>SUM(D48:D52)</f>
        <v>84176.1</v>
      </c>
      <c r="E53" s="11">
        <f t="shared" si="20"/>
        <v>-22405.851848209713</v>
      </c>
      <c r="F53" s="9">
        <f t="shared" si="21"/>
        <v>-0.26617830771691386</v>
      </c>
      <c r="H53" s="45">
        <f>SUM(H48:H52)</f>
        <v>61668.147395654923</v>
      </c>
      <c r="I53" s="45">
        <f t="shared" ref="I53:N53" si="22">SUM(I48:I52)</f>
        <v>51283.84986358555</v>
      </c>
      <c r="J53" s="31">
        <f t="shared" si="22"/>
        <v>47229</v>
      </c>
      <c r="K53" s="11">
        <f t="shared" si="22"/>
        <v>29738</v>
      </c>
      <c r="L53" s="31">
        <f t="shared" si="22"/>
        <v>26029</v>
      </c>
      <c r="M53" s="11">
        <f t="shared" si="22"/>
        <v>23341</v>
      </c>
      <c r="N53" s="11">
        <f t="shared" si="22"/>
        <v>24488</v>
      </c>
      <c r="O53" s="31">
        <v>29493</v>
      </c>
      <c r="T53" s="96">
        <f>'[3]Allocation Sheet'!$D$16</f>
        <v>61770</v>
      </c>
      <c r="U53" t="s">
        <v>157</v>
      </c>
    </row>
    <row r="54" spans="2:23" ht="12.75" customHeight="1" x14ac:dyDescent="0.25">
      <c r="C54" s="32"/>
      <c r="D54" s="32"/>
      <c r="H54" s="32"/>
      <c r="I54" s="32"/>
      <c r="J54" s="32"/>
      <c r="K54" s="32"/>
      <c r="L54" s="32"/>
      <c r="O54" s="32"/>
      <c r="T54" s="95">
        <f>T53-T52</f>
        <v>37061.900739283883</v>
      </c>
    </row>
    <row r="55" spans="2:23" ht="12.75" customHeight="1" x14ac:dyDescent="0.25">
      <c r="C55" s="32"/>
      <c r="D55" s="32"/>
      <c r="H55" s="32"/>
      <c r="I55" s="32"/>
      <c r="J55" s="32"/>
      <c r="K55" s="32"/>
      <c r="L55" s="32"/>
      <c r="O55" s="32"/>
    </row>
    <row r="56" spans="2:23" ht="12.75" customHeight="1" x14ac:dyDescent="0.3">
      <c r="B56" s="7" t="s">
        <v>71</v>
      </c>
      <c r="C56" s="32"/>
      <c r="D56" s="32"/>
      <c r="H56" s="32"/>
      <c r="I56" s="32"/>
      <c r="J56" s="32"/>
      <c r="K56" s="32"/>
      <c r="L56" s="32"/>
      <c r="O56" s="32"/>
    </row>
    <row r="57" spans="2:23" ht="12.75" customHeight="1" x14ac:dyDescent="0.25">
      <c r="B57" s="18" t="s">
        <v>3</v>
      </c>
      <c r="C57" s="51" t="str">
        <f>C47</f>
        <v>PY 21</v>
      </c>
      <c r="D57" s="51" t="str">
        <f>D47</f>
        <v>PY 20</v>
      </c>
      <c r="E57" s="24" t="s">
        <v>24</v>
      </c>
      <c r="F57" s="24" t="s">
        <v>23</v>
      </c>
      <c r="H57" s="51" t="str">
        <f>H47</f>
        <v xml:space="preserve">PY19 </v>
      </c>
      <c r="I57" s="51" t="str">
        <f t="shared" ref="I57:N57" si="23">I47</f>
        <v xml:space="preserve">PY18 </v>
      </c>
      <c r="J57" s="51" t="str">
        <f t="shared" si="23"/>
        <v>PY17 Final</v>
      </c>
      <c r="K57" s="51" t="str">
        <f t="shared" si="23"/>
        <v>PY16 Final</v>
      </c>
      <c r="L57" s="51" t="str">
        <f t="shared" si="23"/>
        <v xml:space="preserve">PY15 </v>
      </c>
      <c r="M57" s="28" t="str">
        <f t="shared" si="23"/>
        <v>PY14</v>
      </c>
      <c r="N57" s="36" t="str">
        <f t="shared" si="23"/>
        <v>PY13</v>
      </c>
      <c r="O57" s="33" t="s">
        <v>21</v>
      </c>
    </row>
    <row r="58" spans="2:23" ht="12.75" customHeight="1" x14ac:dyDescent="0.25">
      <c r="B58" s="2" t="s">
        <v>7</v>
      </c>
      <c r="C58" s="30">
        <f>'State eml 6-1-21 Anne Dennison'!E5*0.9</f>
        <v>87984.415632813645</v>
      </c>
      <c r="D58" s="30">
        <v>179948.7</v>
      </c>
      <c r="E58" s="8">
        <f>C58-D58</f>
        <v>-91964.284367186367</v>
      </c>
      <c r="F58" s="9">
        <f>-1+(C58/D58)</f>
        <v>-0.51105834255644167</v>
      </c>
      <c r="H58" s="30">
        <v>110727.85331616033</v>
      </c>
      <c r="I58" s="30">
        <v>86698.400872398066</v>
      </c>
      <c r="J58" s="30">
        <v>95701.39</v>
      </c>
      <c r="K58" s="30">
        <v>62977.34</v>
      </c>
      <c r="L58" s="30">
        <v>49275.12</v>
      </c>
      <c r="M58" s="8">
        <v>32458.95</v>
      </c>
      <c r="N58" s="8">
        <v>29111.09</v>
      </c>
      <c r="O58" s="29">
        <v>45806</v>
      </c>
    </row>
    <row r="59" spans="2:23" ht="12.75" customHeight="1" x14ac:dyDescent="0.25">
      <c r="B59" s="2" t="s">
        <v>8</v>
      </c>
      <c r="C59" s="30">
        <f>'State eml 6-1-21 Anne Dennison'!E6*0.9</f>
        <v>92573.499736317288</v>
      </c>
      <c r="D59" s="30">
        <v>118770.3</v>
      </c>
      <c r="E59" s="8">
        <f>C59-D59</f>
        <v>-26196.800263682715</v>
      </c>
      <c r="F59" s="9">
        <f>-1+(C59/D59)</f>
        <v>-0.22056692846345183</v>
      </c>
      <c r="H59" s="30">
        <v>88666.980050601458</v>
      </c>
      <c r="I59" s="30">
        <v>73084.348373007713</v>
      </c>
      <c r="J59" s="30">
        <v>70823.56</v>
      </c>
      <c r="K59" s="30">
        <v>46824.45</v>
      </c>
      <c r="L59" s="30">
        <v>43728.45</v>
      </c>
      <c r="M59" s="8">
        <v>39584.300000000003</v>
      </c>
      <c r="N59" s="8">
        <v>39091.47</v>
      </c>
      <c r="O59" s="30">
        <v>60495</v>
      </c>
    </row>
    <row r="60" spans="2:23" ht="12.75" customHeight="1" x14ac:dyDescent="0.25">
      <c r="B60" s="2" t="s">
        <v>9</v>
      </c>
      <c r="C60" s="30">
        <f>'State eml 6-1-21 Anne Dennison'!E7*0.9+1</f>
        <v>63903.833628367625</v>
      </c>
      <c r="D60" s="30">
        <v>112940.1</v>
      </c>
      <c r="E60" s="8">
        <f>C60-D60</f>
        <v>-49036.26637163238</v>
      </c>
      <c r="F60" s="9">
        <f>-1+(C60/D60)</f>
        <v>-0.43417941343802935</v>
      </c>
      <c r="H60" s="30">
        <v>75854.4465187366</v>
      </c>
      <c r="I60" s="30">
        <v>59316.202878200951</v>
      </c>
      <c r="J60" s="30">
        <v>57759.56</v>
      </c>
      <c r="K60" s="30">
        <v>35937.519999999997</v>
      </c>
      <c r="L60" s="30">
        <v>33333.94</v>
      </c>
      <c r="M60" s="8">
        <v>33483.57</v>
      </c>
      <c r="N60" s="8">
        <v>35659.57</v>
      </c>
      <c r="O60" s="30">
        <v>43091</v>
      </c>
    </row>
    <row r="61" spans="2:23" ht="13.8" thickBot="1" x14ac:dyDescent="0.3">
      <c r="B61" s="2" t="s">
        <v>10</v>
      </c>
      <c r="C61" s="30">
        <f>'State eml 6-1-21 Anne Dennison'!E8*0.9</f>
        <v>311471.4843686141</v>
      </c>
      <c r="D61" s="52">
        <v>345925.8</v>
      </c>
      <c r="E61" s="8">
        <f>C61-D61</f>
        <v>-34454.315631385893</v>
      </c>
      <c r="F61" s="9">
        <f>-1+(C61/D61)</f>
        <v>-9.9600306283561091E-2</v>
      </c>
      <c r="H61" s="52">
        <v>279764.04667539604</v>
      </c>
      <c r="I61" s="52">
        <v>242455.6966486632</v>
      </c>
      <c r="J61" s="52">
        <v>200779.49</v>
      </c>
      <c r="K61" s="52">
        <v>121913.69</v>
      </c>
      <c r="L61" s="52">
        <v>107921.49</v>
      </c>
      <c r="M61" s="8">
        <v>104539.18</v>
      </c>
      <c r="N61" s="8">
        <v>116527.87</v>
      </c>
      <c r="O61" s="30">
        <v>116044</v>
      </c>
    </row>
    <row r="62" spans="2:23" ht="13.8" thickBot="1" x14ac:dyDescent="0.3">
      <c r="C62" s="57">
        <f>SUM(C58:C61)-1</f>
        <v>555932.23336611269</v>
      </c>
      <c r="D62" s="31">
        <f>SUM(D58:D61)</f>
        <v>757584.89999999991</v>
      </c>
      <c r="E62" s="11">
        <f>C62-D62</f>
        <v>-201652.66663388722</v>
      </c>
      <c r="F62" s="9">
        <f>-1+(C62/D62)</f>
        <v>-0.26617830771691364</v>
      </c>
      <c r="H62" s="31">
        <f>SUM(H58:H61)</f>
        <v>555013.32656089449</v>
      </c>
      <c r="I62" s="31">
        <f t="shared" ref="I62:N62" si="24">SUM(I58:I61)</f>
        <v>461554.64877226995</v>
      </c>
      <c r="J62" s="31">
        <f t="shared" si="24"/>
        <v>425064</v>
      </c>
      <c r="K62" s="31">
        <f t="shared" si="24"/>
        <v>267653</v>
      </c>
      <c r="L62" s="31">
        <f t="shared" si="24"/>
        <v>234259</v>
      </c>
      <c r="M62" s="11">
        <f t="shared" si="24"/>
        <v>210066</v>
      </c>
      <c r="N62" s="11">
        <f t="shared" si="24"/>
        <v>220390</v>
      </c>
      <c r="O62" s="30">
        <v>265436</v>
      </c>
    </row>
    <row r="63" spans="2:23" x14ac:dyDescent="0.25">
      <c r="C63" s="32"/>
      <c r="D63" s="32"/>
      <c r="H63" s="32"/>
      <c r="I63" s="32"/>
      <c r="J63" s="32"/>
      <c r="K63" s="32"/>
      <c r="L63" s="32"/>
      <c r="O63" s="32"/>
    </row>
    <row r="64" spans="2:23" x14ac:dyDescent="0.25">
      <c r="B64" s="23" t="s">
        <v>26</v>
      </c>
      <c r="C64" s="13">
        <f>C13+C22+C32+C41+C53+C62</f>
        <v>1727050.304855302</v>
      </c>
      <c r="D64" s="13">
        <f>D13+D22+D32+D41+D53+D62</f>
        <v>2315987</v>
      </c>
      <c r="H64" s="13">
        <f>H13+H22+H32+H41+H53+H62</f>
        <v>1827685.5198759558</v>
      </c>
      <c r="I64" s="13">
        <f>I13+I22+I32+I41+I53+I62</f>
        <v>1631897.6641830297</v>
      </c>
      <c r="J64" s="13">
        <f t="shared" ref="J64:O64" si="25">J13+J22+J32+J41+J53+J62</f>
        <v>1512000</v>
      </c>
      <c r="K64" s="13">
        <f t="shared" si="25"/>
        <v>1058610</v>
      </c>
      <c r="L64" s="13">
        <f t="shared" si="25"/>
        <v>973092.99</v>
      </c>
      <c r="M64" s="13">
        <f t="shared" si="25"/>
        <v>845539.99</v>
      </c>
      <c r="N64" s="13">
        <f t="shared" si="25"/>
        <v>745119</v>
      </c>
      <c r="O64" s="13">
        <f t="shared" si="25"/>
        <v>804617</v>
      </c>
    </row>
    <row r="65" spans="2:17" x14ac:dyDescent="0.25">
      <c r="B65" t="s">
        <v>32</v>
      </c>
      <c r="C65" s="38">
        <f>C64/D64</f>
        <v>0.74570811703835216</v>
      </c>
      <c r="D65" s="38">
        <f>D64/H64</f>
        <v>1.2671693104824648</v>
      </c>
      <c r="H65" s="38">
        <f>H64/I64</f>
        <v>1.119975571992097</v>
      </c>
      <c r="I65" s="38">
        <f t="shared" ref="I65:N65" si="26">I64/J64</f>
        <v>1.0792973969464481</v>
      </c>
      <c r="J65" s="38">
        <f t="shared" si="26"/>
        <v>1.428288038087681</v>
      </c>
      <c r="K65" s="38">
        <f t="shared" si="26"/>
        <v>1.0878816422261968</v>
      </c>
      <c r="L65" s="38">
        <f t="shared" si="26"/>
        <v>1.1508538939713544</v>
      </c>
      <c r="M65" s="38">
        <f t="shared" si="26"/>
        <v>1.1347717478684614</v>
      </c>
      <c r="N65" s="38">
        <f t="shared" si="26"/>
        <v>0.92605425935569341</v>
      </c>
    </row>
    <row r="66" spans="2:17" x14ac:dyDescent="0.25">
      <c r="C66" t="s">
        <v>106</v>
      </c>
      <c r="Q66" s="23" t="s">
        <v>108</v>
      </c>
    </row>
    <row r="67" spans="2:17" x14ac:dyDescent="0.25">
      <c r="C67" s="13">
        <f>C18+C37+C58</f>
        <v>280795.19453201944</v>
      </c>
      <c r="E67" s="13"/>
      <c r="H67" s="13"/>
      <c r="P67" s="23" t="s">
        <v>7</v>
      </c>
      <c r="Q67" s="6">
        <f>S8+S27+C48</f>
        <v>12479.739756978641</v>
      </c>
    </row>
    <row r="68" spans="2:17" x14ac:dyDescent="0.25">
      <c r="C68" s="13">
        <f t="shared" ref="C68:C69" si="27">C19+C38+C59</f>
        <v>256132.16542983943</v>
      </c>
      <c r="E68" s="13"/>
      <c r="H68" s="13"/>
      <c r="P68" s="23" t="s">
        <v>8</v>
      </c>
      <c r="Q68" s="6">
        <f t="shared" ref="Q68:Q70" si="28">S9+S28+C49</f>
        <v>11383.651796881753</v>
      </c>
    </row>
    <row r="69" spans="2:17" x14ac:dyDescent="0.25">
      <c r="C69" s="13">
        <f t="shared" si="27"/>
        <v>209338.84509645932</v>
      </c>
      <c r="E69" s="13"/>
      <c r="H69" s="13"/>
      <c r="P69" s="23" t="s">
        <v>9</v>
      </c>
      <c r="Q69" s="6">
        <f t="shared" si="28"/>
        <v>9303.9042265093012</v>
      </c>
    </row>
    <row r="70" spans="2:17" x14ac:dyDescent="0.25">
      <c r="C70" s="13">
        <f>C21+C40+C61</f>
        <v>808080.07431145338</v>
      </c>
      <c r="E70" s="13"/>
      <c r="H70" s="13"/>
      <c r="P70" s="23" t="s">
        <v>155</v>
      </c>
      <c r="Q70" s="6">
        <f t="shared" si="28"/>
        <v>35914.714413842376</v>
      </c>
    </row>
    <row r="71" spans="2:17" ht="13.8" thickBot="1" x14ac:dyDescent="0.3">
      <c r="C71" s="147">
        <f>SUM(C67:C70)</f>
        <v>1554346.2793697715</v>
      </c>
      <c r="P71" s="23" t="s">
        <v>11</v>
      </c>
      <c r="Q71" s="96">
        <f>S12+S31+C52</f>
        <v>103623.01529131809</v>
      </c>
    </row>
    <row r="72" spans="2:17" ht="14.4" thickTop="1" thickBot="1" x14ac:dyDescent="0.3">
      <c r="Q72" s="34">
        <f>SUM(Q67:Q71)</f>
        <v>172705.02548553015</v>
      </c>
    </row>
    <row r="73" spans="2:17" ht="13.8" thickTop="1" x14ac:dyDescent="0.25"/>
  </sheetData>
  <mergeCells count="1">
    <mergeCell ref="Q1:R1"/>
  </mergeCells>
  <pageMargins left="0.75" right="0.75" top="1" bottom="1" header="0.5" footer="0.5"/>
  <pageSetup scale="60" orientation="portrait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1774C1-EE5E-4844-8E5E-87D772B41094}">
  <dimension ref="A1:L16"/>
  <sheetViews>
    <sheetView workbookViewId="0">
      <selection activeCell="F14" sqref="F14"/>
    </sheetView>
  </sheetViews>
  <sheetFormatPr defaultRowHeight="13.2" x14ac:dyDescent="0.25"/>
  <cols>
    <col min="3" max="3" width="10.44140625" bestFit="1" customWidth="1"/>
    <col min="4" max="5" width="12" bestFit="1" customWidth="1"/>
    <col min="6" max="6" width="13.5546875" bestFit="1" customWidth="1"/>
    <col min="7" max="7" width="1.33203125" bestFit="1" customWidth="1"/>
    <col min="8" max="9" width="12" bestFit="1" customWidth="1"/>
    <col min="10" max="10" width="1.33203125" bestFit="1" customWidth="1"/>
    <col min="11" max="11" width="11" bestFit="1" customWidth="1"/>
    <col min="12" max="12" width="12" bestFit="1" customWidth="1"/>
  </cols>
  <sheetData>
    <row r="1" spans="1:12" ht="15.6" x14ac:dyDescent="0.3">
      <c r="A1" s="148" t="s">
        <v>146</v>
      </c>
    </row>
    <row r="2" spans="1:12" ht="14.4" x14ac:dyDescent="0.3">
      <c r="H2" s="149" t="s">
        <v>142</v>
      </c>
      <c r="I2" s="149" t="s">
        <v>143</v>
      </c>
      <c r="J2" s="150"/>
      <c r="K2" s="149" t="s">
        <v>142</v>
      </c>
      <c r="L2" s="149" t="s">
        <v>143</v>
      </c>
    </row>
    <row r="3" spans="1:12" ht="14.4" x14ac:dyDescent="0.3">
      <c r="A3" s="149" t="s">
        <v>147</v>
      </c>
      <c r="B3" s="149" t="s">
        <v>148</v>
      </c>
      <c r="C3" s="149" t="s">
        <v>2</v>
      </c>
      <c r="D3" s="149" t="s">
        <v>64</v>
      </c>
      <c r="E3" s="149" t="s">
        <v>71</v>
      </c>
      <c r="F3" s="149" t="s">
        <v>149</v>
      </c>
      <c r="G3" t="s">
        <v>150</v>
      </c>
      <c r="H3" s="149" t="s">
        <v>151</v>
      </c>
      <c r="I3" s="149" t="s">
        <v>152</v>
      </c>
      <c r="J3" s="150" t="s">
        <v>153</v>
      </c>
      <c r="K3" s="149" t="s">
        <v>76</v>
      </c>
      <c r="L3" s="149" t="s">
        <v>154</v>
      </c>
    </row>
    <row r="4" spans="1:12" x14ac:dyDescent="0.25">
      <c r="H4" s="151">
        <v>0.17503587631578743</v>
      </c>
      <c r="I4" s="151">
        <v>0.82496412980370948</v>
      </c>
      <c r="K4" s="151">
        <v>0.19029353169170182</v>
      </c>
      <c r="L4" s="151">
        <v>0.80970646830829818</v>
      </c>
    </row>
    <row r="5" spans="1:12" x14ac:dyDescent="0.25">
      <c r="A5" t="s">
        <v>5</v>
      </c>
      <c r="B5" s="150">
        <v>56</v>
      </c>
      <c r="C5" s="150" t="s">
        <v>7</v>
      </c>
      <c r="D5" s="96">
        <v>96901.957068175048</v>
      </c>
      <c r="E5" s="96">
        <v>97760.46181423738</v>
      </c>
      <c r="F5" s="96">
        <v>117331.07444906236</v>
      </c>
      <c r="G5" s="96"/>
      <c r="H5" s="96">
        <v>16961.318972142832</v>
      </c>
      <c r="I5" s="96">
        <v>79940.638689023443</v>
      </c>
      <c r="J5" s="96"/>
      <c r="K5" s="96">
        <v>22327.344534094074</v>
      </c>
      <c r="L5" s="96">
        <v>95003.72991496828</v>
      </c>
    </row>
    <row r="6" spans="1:12" x14ac:dyDescent="0.25">
      <c r="A6" t="s">
        <v>5</v>
      </c>
      <c r="B6" s="150">
        <v>58</v>
      </c>
      <c r="C6" s="150" t="s">
        <v>8</v>
      </c>
      <c r="D6" s="96">
        <v>98191.786772966909</v>
      </c>
      <c r="E6" s="96">
        <v>102859.44415146366</v>
      </c>
      <c r="F6" s="96">
        <v>83540.063396728918</v>
      </c>
      <c r="G6" s="96"/>
      <c r="H6" s="96">
        <v>17187.085444819208</v>
      </c>
      <c r="I6" s="96">
        <v>81004.701929032031</v>
      </c>
      <c r="J6" s="96"/>
      <c r="K6" s="96">
        <v>15897.133701512214</v>
      </c>
      <c r="L6" s="96">
        <v>67642.929695216706</v>
      </c>
    </row>
    <row r="7" spans="1:12" x14ac:dyDescent="0.25">
      <c r="A7" t="s">
        <v>5</v>
      </c>
      <c r="B7" s="150">
        <v>61</v>
      </c>
      <c r="C7" s="150" t="s">
        <v>9</v>
      </c>
      <c r="D7" s="96">
        <v>87410.260057944295</v>
      </c>
      <c r="E7" s="96">
        <v>71003.14847596403</v>
      </c>
      <c r="F7" s="96">
        <v>74184.196593917412</v>
      </c>
      <c r="G7" s="96"/>
      <c r="H7" s="96">
        <v>15299.931468233151</v>
      </c>
      <c r="I7" s="96">
        <v>72110.329124617958</v>
      </c>
      <c r="J7" s="96"/>
      <c r="K7" s="96">
        <v>14116.772765568061</v>
      </c>
      <c r="L7" s="96">
        <v>60067.423828349347</v>
      </c>
    </row>
    <row r="8" spans="1:12" x14ac:dyDescent="0.25">
      <c r="A8" t="s">
        <v>5</v>
      </c>
      <c r="B8" s="150">
        <v>84</v>
      </c>
      <c r="C8" s="150" t="s">
        <v>10</v>
      </c>
      <c r="D8" s="96">
        <v>320984.74707142066</v>
      </c>
      <c r="E8" s="96">
        <v>346079.42707623786</v>
      </c>
      <c r="F8" s="96">
        <v>230803.68423413561</v>
      </c>
      <c r="G8" s="96"/>
      <c r="H8" s="96">
        <v>56183.846487647497</v>
      </c>
      <c r="I8" s="96">
        <v>264800.90254803834</v>
      </c>
      <c r="J8" s="96"/>
      <c r="K8" s="96">
        <v>43920.448200370025</v>
      </c>
      <c r="L8" s="96">
        <v>186883.2360337656</v>
      </c>
    </row>
    <row r="9" spans="1:12" ht="14.4" x14ac:dyDescent="0.3">
      <c r="A9" s="152" t="s">
        <v>87</v>
      </c>
      <c r="D9" s="153">
        <v>603488.75097050692</v>
      </c>
      <c r="E9" s="153">
        <v>617702.48151790292</v>
      </c>
      <c r="F9" s="153">
        <v>505859.01867384434</v>
      </c>
      <c r="H9" s="153">
        <v>105632.18237284268</v>
      </c>
      <c r="I9" s="153">
        <v>497856.5722907118</v>
      </c>
      <c r="K9" s="153">
        <v>96261.699201544368</v>
      </c>
      <c r="L9" s="153">
        <v>409597.31947229995</v>
      </c>
    </row>
    <row r="11" spans="1:12" x14ac:dyDescent="0.25">
      <c r="D11" s="154">
        <f>D9*0.1</f>
        <v>60348.875097050695</v>
      </c>
      <c r="E11" s="154">
        <f t="shared" ref="E11:L11" si="0">E9*0.1</f>
        <v>61770.248151790292</v>
      </c>
      <c r="F11" s="154">
        <f t="shared" si="0"/>
        <v>50585.90186738444</v>
      </c>
      <c r="G11" s="154">
        <f t="shared" si="0"/>
        <v>0</v>
      </c>
      <c r="H11" s="154">
        <f t="shared" si="0"/>
        <v>10563.218237284269</v>
      </c>
      <c r="I11" s="154">
        <f t="shared" si="0"/>
        <v>49785.657229071185</v>
      </c>
      <c r="J11" s="154">
        <f t="shared" si="0"/>
        <v>0</v>
      </c>
      <c r="K11" s="154">
        <f t="shared" si="0"/>
        <v>9626.1699201544379</v>
      </c>
      <c r="L11" s="154">
        <f t="shared" si="0"/>
        <v>40959.731947230001</v>
      </c>
    </row>
    <row r="12" spans="1:12" x14ac:dyDescent="0.25">
      <c r="D12" s="154">
        <f>D9*0.9</f>
        <v>543139.87587345624</v>
      </c>
      <c r="E12" s="154">
        <f t="shared" ref="E12:L12" si="1">E9*0.9</f>
        <v>555932.23336611269</v>
      </c>
      <c r="F12" s="154">
        <f t="shared" si="1"/>
        <v>455273.1168064599</v>
      </c>
      <c r="G12" s="154">
        <f t="shared" si="1"/>
        <v>0</v>
      </c>
      <c r="H12" s="154">
        <f t="shared" si="1"/>
        <v>95068.964135558417</v>
      </c>
      <c r="I12" s="154">
        <f t="shared" si="1"/>
        <v>448070.91506164061</v>
      </c>
      <c r="J12" s="154">
        <f t="shared" si="1"/>
        <v>0</v>
      </c>
      <c r="K12" s="154">
        <f t="shared" si="1"/>
        <v>86635.529281389929</v>
      </c>
      <c r="L12" s="154">
        <f t="shared" si="1"/>
        <v>368637.58752506995</v>
      </c>
    </row>
    <row r="14" spans="1:12" x14ac:dyDescent="0.25">
      <c r="F14" s="154">
        <f>SUM(D9:F9)</f>
        <v>1727050.2511622543</v>
      </c>
      <c r="I14" s="154">
        <f>(H9+I9)*0.06</f>
        <v>36209.325279813267</v>
      </c>
      <c r="L14" s="154">
        <f>(K9+L9)*0.06</f>
        <v>30351.541120430655</v>
      </c>
    </row>
    <row r="15" spans="1:12" x14ac:dyDescent="0.25">
      <c r="F15" s="154">
        <f>F14*0.9</f>
        <v>1554345.2260460288</v>
      </c>
    </row>
    <row r="16" spans="1:12" x14ac:dyDescent="0.25">
      <c r="F16" s="154">
        <f>F14*0.1</f>
        <v>172705.02511622544</v>
      </c>
    </row>
  </sheetData>
  <pageMargins left="0.7" right="0.7" top="0.75" bottom="0.75" header="0.3" footer="0.3"/>
  <tableParts count="1">
    <tablePart r:id="rId1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S73"/>
  <sheetViews>
    <sheetView zoomScale="71" zoomScaleNormal="71" workbookViewId="0">
      <selection activeCell="E11" sqref="E11"/>
    </sheetView>
  </sheetViews>
  <sheetFormatPr defaultColWidth="9.109375" defaultRowHeight="13.2" x14ac:dyDescent="0.25"/>
  <cols>
    <col min="1" max="1" width="9.109375" customWidth="1"/>
    <col min="2" max="2" width="15.6640625" customWidth="1"/>
    <col min="3" max="3" width="11.44140625" customWidth="1"/>
    <col min="4" max="4" width="11.33203125" customWidth="1"/>
    <col min="5" max="5" width="10.5546875" customWidth="1"/>
    <col min="6" max="6" width="11.109375" customWidth="1"/>
    <col min="8" max="8" width="10.88671875" customWidth="1"/>
    <col min="9" max="9" width="9.88671875" customWidth="1"/>
    <col min="10" max="10" width="10.109375" hidden="1" customWidth="1"/>
    <col min="11" max="13" width="10.5546875" hidden="1" customWidth="1"/>
    <col min="14" max="14" width="11" hidden="1" customWidth="1"/>
    <col min="16" max="16" width="14.44140625" customWidth="1"/>
    <col min="17" max="17" width="11.5546875" style="101" customWidth="1"/>
    <col min="18" max="18" width="14.109375" customWidth="1"/>
    <col min="19" max="19" width="17.44140625" bestFit="1" customWidth="1"/>
  </cols>
  <sheetData>
    <row r="1" spans="2:19" s="7" customFormat="1" ht="21" x14ac:dyDescent="0.4">
      <c r="C1" s="15" t="s">
        <v>109</v>
      </c>
      <c r="P1" s="173">
        <f ca="1">NOW()</f>
        <v>44884.557374074073</v>
      </c>
      <c r="Q1" s="173"/>
    </row>
    <row r="2" spans="2:19" s="7" customFormat="1" ht="15.6" x14ac:dyDescent="0.3">
      <c r="B2" s="7" t="s">
        <v>139</v>
      </c>
      <c r="F2" s="19"/>
      <c r="Q2" s="100"/>
    </row>
    <row r="3" spans="2:19" s="7" customFormat="1" ht="15.6" x14ac:dyDescent="0.3">
      <c r="Q3" s="100"/>
    </row>
    <row r="4" spans="2:19" s="7" customFormat="1" ht="15.6" x14ac:dyDescent="0.3">
      <c r="Q4" s="100"/>
    </row>
    <row r="5" spans="2:19" s="7" customFormat="1" ht="15.6" x14ac:dyDescent="0.3">
      <c r="C5" s="7" t="s">
        <v>101</v>
      </c>
      <c r="H5" s="7" t="s">
        <v>103</v>
      </c>
      <c r="P5" s="7" t="s">
        <v>102</v>
      </c>
      <c r="Q5" s="100"/>
    </row>
    <row r="6" spans="2:19" ht="13.8" thickBot="1" x14ac:dyDescent="0.3">
      <c r="B6" s="146" t="s">
        <v>68</v>
      </c>
    </row>
    <row r="7" spans="2:19" ht="39" customHeight="1" thickBot="1" x14ac:dyDescent="0.35">
      <c r="B7" s="18" t="s">
        <v>3</v>
      </c>
      <c r="C7" s="43" t="s">
        <v>133</v>
      </c>
      <c r="D7" s="43" t="s">
        <v>110</v>
      </c>
      <c r="E7" s="24" t="s">
        <v>24</v>
      </c>
      <c r="F7" s="24" t="s">
        <v>23</v>
      </c>
      <c r="H7" s="43" t="s">
        <v>99</v>
      </c>
      <c r="I7" s="43" t="s">
        <v>40</v>
      </c>
      <c r="J7" s="43" t="s">
        <v>38</v>
      </c>
      <c r="K7" s="43" t="s">
        <v>37</v>
      </c>
      <c r="L7" s="42" t="s">
        <v>31</v>
      </c>
      <c r="M7" s="42" t="s">
        <v>34</v>
      </c>
      <c r="N7" s="42" t="s">
        <v>35</v>
      </c>
      <c r="P7" s="37" t="s">
        <v>112</v>
      </c>
      <c r="Q7" s="102" t="s">
        <v>113</v>
      </c>
      <c r="R7" s="35" t="s">
        <v>87</v>
      </c>
    </row>
    <row r="8" spans="2:19" ht="12.75" customHeight="1" x14ac:dyDescent="0.25">
      <c r="B8" s="2" t="s">
        <v>7</v>
      </c>
      <c r="C8" s="55">
        <f>P8+Q8</f>
        <v>7701.4400000000005</v>
      </c>
      <c r="D8" s="45">
        <v>4812.8006768596715</v>
      </c>
      <c r="E8" s="8">
        <f t="shared" ref="E8:E13" si="0">C8-D8</f>
        <v>2888.639323140329</v>
      </c>
      <c r="F8" s="9">
        <f t="shared" ref="F8:F13" si="1">-1+(C8/D8)</f>
        <v>0.60019924303724781</v>
      </c>
      <c r="H8" s="45">
        <v>3779.9924565869383</v>
      </c>
      <c r="I8" s="45">
        <v>4096.2880000000005</v>
      </c>
      <c r="J8" s="45">
        <v>2727.15</v>
      </c>
      <c r="K8" s="45">
        <v>2179.92</v>
      </c>
      <c r="L8" s="8">
        <v>1475.6759999999999</v>
      </c>
      <c r="M8" s="8">
        <v>1290.7760000000001</v>
      </c>
      <c r="N8" s="25">
        <v>1695</v>
      </c>
      <c r="P8" s="32">
        <f>[4]SFY21_WIOA_Allocations!F14*0.04</f>
        <v>1285.72</v>
      </c>
      <c r="Q8" s="32">
        <f>[4]SFY21_WIOA_Allocations!G14*0.04</f>
        <v>6415.72</v>
      </c>
      <c r="R8" s="32">
        <f>P8+Q8</f>
        <v>7701.4400000000005</v>
      </c>
    </row>
    <row r="9" spans="2:19" ht="12.75" customHeight="1" x14ac:dyDescent="0.25">
      <c r="B9" s="2" t="s">
        <v>8</v>
      </c>
      <c r="C9" s="55">
        <f t="shared" ref="C9:C12" si="2">P9+Q9</f>
        <v>5081.96</v>
      </c>
      <c r="D9" s="45">
        <v>3820.5404867807806</v>
      </c>
      <c r="E9" s="8">
        <f t="shared" si="0"/>
        <v>1261.4195132192194</v>
      </c>
      <c r="F9" s="9">
        <f t="shared" si="1"/>
        <v>0.3301678172456961</v>
      </c>
      <c r="H9" s="45">
        <v>3149.895909943019</v>
      </c>
      <c r="I9" s="45">
        <v>3044.8360000000002</v>
      </c>
      <c r="J9" s="45">
        <v>2041.86</v>
      </c>
      <c r="K9" s="45">
        <v>1930.124</v>
      </c>
      <c r="L9" s="8">
        <v>1748.856</v>
      </c>
      <c r="M9" s="8">
        <v>1662.6520000000003</v>
      </c>
      <c r="N9" s="25">
        <v>1972</v>
      </c>
      <c r="P9" s="32">
        <f>[4]SFY21_WIOA_Allocations!F15*0.04</f>
        <v>848.4</v>
      </c>
      <c r="Q9" s="32">
        <f>[4]SFY21_WIOA_Allocations!G15*0.04</f>
        <v>4233.5600000000004</v>
      </c>
      <c r="R9" s="32">
        <f t="shared" ref="R9:R12" si="3">P9+Q9</f>
        <v>5081.96</v>
      </c>
    </row>
    <row r="10" spans="2:19" ht="12.75" customHeight="1" x14ac:dyDescent="0.25">
      <c r="B10" s="2" t="s">
        <v>9</v>
      </c>
      <c r="C10" s="55">
        <f t="shared" si="2"/>
        <v>5272.08</v>
      </c>
      <c r="D10" s="45">
        <v>3717.9789092758988</v>
      </c>
      <c r="E10" s="8">
        <f t="shared" si="0"/>
        <v>1554.1010907241011</v>
      </c>
      <c r="F10" s="9">
        <f t="shared" si="1"/>
        <v>0.41799620940474158</v>
      </c>
      <c r="H10" s="45">
        <v>2943.5529483525506</v>
      </c>
      <c r="I10" s="45">
        <v>2774.6560000000004</v>
      </c>
      <c r="J10" s="45">
        <v>1894.69</v>
      </c>
      <c r="K10" s="45">
        <v>1853.5120000000002</v>
      </c>
      <c r="L10" s="8">
        <v>1825.048</v>
      </c>
      <c r="M10" s="8">
        <v>1863.7840000000001</v>
      </c>
      <c r="N10" s="25">
        <v>1893</v>
      </c>
      <c r="P10" s="32">
        <f>[4]SFY21_WIOA_Allocations!F16*0.04</f>
        <v>880.16</v>
      </c>
      <c r="Q10" s="32">
        <f>[4]SFY21_WIOA_Allocations!G16*0.04</f>
        <v>4391.92</v>
      </c>
      <c r="R10" s="32">
        <f t="shared" si="3"/>
        <v>5272.08</v>
      </c>
    </row>
    <row r="11" spans="2:19" ht="12.75" customHeight="1" x14ac:dyDescent="0.25">
      <c r="B11" s="2" t="s">
        <v>10</v>
      </c>
      <c r="C11" s="55">
        <f t="shared" si="2"/>
        <v>14640.880000000001</v>
      </c>
      <c r="D11" s="45">
        <v>11859.142707399747</v>
      </c>
      <c r="E11" s="8">
        <f t="shared" si="0"/>
        <v>2781.7372926002536</v>
      </c>
      <c r="F11" s="9">
        <f t="shared" si="1"/>
        <v>0.23456478779570911</v>
      </c>
      <c r="H11" s="45">
        <v>10263.132494274008</v>
      </c>
      <c r="I11" s="45">
        <v>8599.6200000000008</v>
      </c>
      <c r="J11" s="45">
        <v>5306.02</v>
      </c>
      <c r="K11" s="45">
        <v>4768.4340000000002</v>
      </c>
      <c r="L11" s="8">
        <v>4603.01</v>
      </c>
      <c r="M11" s="8">
        <v>4897.1880000000001</v>
      </c>
      <c r="N11" s="25">
        <v>5732</v>
      </c>
      <c r="P11" s="32">
        <f>[4]SFY21_WIOA_Allocations!F17*0.04</f>
        <v>2444.2000000000003</v>
      </c>
      <c r="Q11" s="32">
        <f>[4]SFY21_WIOA_Allocations!G17*0.04</f>
        <v>12196.68</v>
      </c>
      <c r="R11" s="32">
        <f t="shared" si="3"/>
        <v>14640.880000000001</v>
      </c>
    </row>
    <row r="12" spans="2:19" ht="12.75" customHeight="1" thickBot="1" x14ac:dyDescent="0.3">
      <c r="B12" s="2" t="s">
        <v>11</v>
      </c>
      <c r="C12" s="55">
        <f t="shared" si="2"/>
        <v>49044.54</v>
      </c>
      <c r="D12" s="45">
        <v>36315.694170474148</v>
      </c>
      <c r="E12" s="8">
        <f t="shared" si="0"/>
        <v>12728.845829525853</v>
      </c>
      <c r="F12" s="9">
        <f t="shared" si="1"/>
        <v>0.3505053702064389</v>
      </c>
      <c r="H12" s="45">
        <v>30204.860713734772</v>
      </c>
      <c r="I12" s="45">
        <v>27773.599999999999</v>
      </c>
      <c r="J12" s="45">
        <v>17954.28</v>
      </c>
      <c r="K12" s="45">
        <v>16098</v>
      </c>
      <c r="L12" s="8">
        <v>14480.4</v>
      </c>
      <c r="M12" s="8">
        <v>14571.6</v>
      </c>
      <c r="N12" s="25">
        <v>16938</v>
      </c>
      <c r="P12" s="32">
        <f>[4]SFY21_WIOA_Allocations!F18*0.06</f>
        <v>8187.7199999999993</v>
      </c>
      <c r="Q12" s="32">
        <f>[4]SFY21_WIOA_Allocations!G18*0.06</f>
        <v>40856.82</v>
      </c>
      <c r="R12" s="32">
        <f t="shared" si="3"/>
        <v>49044.54</v>
      </c>
      <c r="S12" s="32">
        <f>R12-P13+1</f>
        <v>35399.340000000004</v>
      </c>
    </row>
    <row r="13" spans="2:19" ht="12.75" customHeight="1" thickBot="1" x14ac:dyDescent="0.3">
      <c r="C13" s="56">
        <f>SUM(C8:C12)</f>
        <v>81740.900000000009</v>
      </c>
      <c r="D13" s="11">
        <f>SUM(D8:D12)</f>
        <v>60526.156950790246</v>
      </c>
      <c r="E13" s="8">
        <f t="shared" si="0"/>
        <v>21214.743049209763</v>
      </c>
      <c r="F13" s="9">
        <f t="shared" si="1"/>
        <v>0.3505053702064389</v>
      </c>
      <c r="H13" s="45">
        <f>SUM(H8:H12)</f>
        <v>50341.434522891286</v>
      </c>
      <c r="I13" s="45">
        <f t="shared" ref="I13:N13" si="4">SUM(I8:I12)</f>
        <v>46289</v>
      </c>
      <c r="J13" s="45">
        <f t="shared" si="4"/>
        <v>29924</v>
      </c>
      <c r="K13" s="45">
        <f t="shared" si="4"/>
        <v>26829.99</v>
      </c>
      <c r="L13" s="11">
        <f t="shared" si="4"/>
        <v>24132.989999999998</v>
      </c>
      <c r="M13" s="11">
        <f t="shared" si="4"/>
        <v>24286</v>
      </c>
      <c r="N13" s="26">
        <f t="shared" si="4"/>
        <v>28230</v>
      </c>
      <c r="P13" s="118">
        <f t="shared" ref="P13:Q13" si="5">SUM(P8:P12)</f>
        <v>13646.199999999999</v>
      </c>
      <c r="Q13" s="119">
        <f t="shared" si="5"/>
        <v>68094.7</v>
      </c>
      <c r="R13" s="118">
        <f>SUM(R8:R12)</f>
        <v>81740.900000000009</v>
      </c>
    </row>
    <row r="14" spans="2:19" ht="12.75" customHeight="1" x14ac:dyDescent="0.25">
      <c r="C14" s="32"/>
      <c r="E14" s="13"/>
      <c r="F14" s="14"/>
      <c r="L14" s="13"/>
      <c r="M14" s="13"/>
      <c r="P14" s="32"/>
      <c r="Q14" s="107"/>
      <c r="R14" s="32"/>
    </row>
    <row r="15" spans="2:19" ht="17.25" customHeight="1" thickBot="1" x14ac:dyDescent="0.35">
      <c r="B15" s="7" t="s">
        <v>16</v>
      </c>
      <c r="C15" s="32"/>
      <c r="P15" s="96"/>
    </row>
    <row r="16" spans="2:19" ht="12.75" hidden="1" customHeight="1" thickBot="1" x14ac:dyDescent="0.3">
      <c r="C16" s="53">
        <f>483473*0.9</f>
        <v>435125.7</v>
      </c>
    </row>
    <row r="17" spans="2:19" ht="42" customHeight="1" thickBot="1" x14ac:dyDescent="0.35">
      <c r="B17" s="18" t="s">
        <v>3</v>
      </c>
      <c r="C17" s="43" t="s">
        <v>133</v>
      </c>
      <c r="D17" s="43" t="str">
        <f>D7</f>
        <v>PY19 &amp; FY20 Actual</v>
      </c>
      <c r="E17" s="24" t="s">
        <v>24</v>
      </c>
      <c r="F17" s="24" t="s">
        <v>23</v>
      </c>
      <c r="H17" s="43" t="str">
        <f>H7</f>
        <v>PY18 &amp; FY19 Actual</v>
      </c>
      <c r="I17" s="43" t="str">
        <f>I7</f>
        <v>PY17 &amp; FY18 Actual</v>
      </c>
      <c r="J17" s="43" t="s">
        <v>38</v>
      </c>
      <c r="K17" s="43" t="s">
        <v>37</v>
      </c>
      <c r="L17" s="42" t="s">
        <v>31</v>
      </c>
      <c r="M17" s="42" t="s">
        <v>34</v>
      </c>
      <c r="N17" s="42" t="s">
        <v>35</v>
      </c>
      <c r="P17" s="37" t="str">
        <f>P7</f>
        <v>PY20</v>
      </c>
      <c r="Q17" s="102" t="str">
        <f>Q7</f>
        <v>FY21</v>
      </c>
      <c r="R17" s="35" t="s">
        <v>87</v>
      </c>
    </row>
    <row r="18" spans="2:19" ht="12.75" customHeight="1" x14ac:dyDescent="0.25">
      <c r="B18" s="2" t="s">
        <v>7</v>
      </c>
      <c r="C18" s="55">
        <f t="shared" ref="C18:C21" si="6">P18+Q18</f>
        <v>173282.40000000002</v>
      </c>
      <c r="D18" s="45">
        <v>108288.01522934259</v>
      </c>
      <c r="E18" s="8">
        <f t="shared" ref="E18:E23" si="7">C18-D18</f>
        <v>64994.384770657431</v>
      </c>
      <c r="F18" s="9">
        <f>-1+(C18/D18)</f>
        <v>0.60019924303724825</v>
      </c>
      <c r="H18" s="45">
        <v>85049.830273206113</v>
      </c>
      <c r="I18" s="45">
        <v>92168.79</v>
      </c>
      <c r="J18" s="45">
        <v>61354.85</v>
      </c>
      <c r="K18" s="45">
        <v>49052.160000000003</v>
      </c>
      <c r="L18" s="8">
        <v>33207.19</v>
      </c>
      <c r="M18" s="8">
        <v>29032.03</v>
      </c>
      <c r="N18" s="25">
        <v>38132</v>
      </c>
      <c r="P18" s="32">
        <f>[4]SFY21_WIOA_Allocations!F14*0.9</f>
        <v>28928.7</v>
      </c>
      <c r="Q18" s="32">
        <f>[4]SFY21_WIOA_Allocations!G14*0.9</f>
        <v>144353.70000000001</v>
      </c>
      <c r="R18" s="32">
        <f>P18+Q18</f>
        <v>173282.40000000002</v>
      </c>
    </row>
    <row r="19" spans="2:19" ht="12.75" customHeight="1" x14ac:dyDescent="0.25">
      <c r="B19" s="2" t="s">
        <v>8</v>
      </c>
      <c r="C19" s="55">
        <f t="shared" si="6"/>
        <v>114344.1</v>
      </c>
      <c r="D19" s="45">
        <v>85962.160952567559</v>
      </c>
      <c r="E19" s="8">
        <f t="shared" si="7"/>
        <v>28381.939047432446</v>
      </c>
      <c r="F19" s="9">
        <f>-1+(C19/D19)</f>
        <v>0.3301678172456961</v>
      </c>
      <c r="H19" s="45">
        <v>70872.657973717927</v>
      </c>
      <c r="I19" s="45">
        <v>68509.820000000007</v>
      </c>
      <c r="J19" s="45">
        <v>45941.429999999993</v>
      </c>
      <c r="K19" s="45">
        <v>43418.810000000005</v>
      </c>
      <c r="L19" s="8">
        <v>39345.279999999999</v>
      </c>
      <c r="M19" s="8">
        <v>37399.170000000006</v>
      </c>
      <c r="N19" s="25">
        <v>44379</v>
      </c>
      <c r="P19" s="32">
        <f>[4]SFY21_WIOA_Allocations!F15*0.9</f>
        <v>19089</v>
      </c>
      <c r="Q19" s="32">
        <f>[4]SFY21_WIOA_Allocations!G15*0.9</f>
        <v>95255.1</v>
      </c>
      <c r="R19" s="32">
        <f t="shared" ref="R19:R21" si="8">P19+Q19</f>
        <v>114344.1</v>
      </c>
    </row>
    <row r="20" spans="2:19" ht="12.75" customHeight="1" x14ac:dyDescent="0.25">
      <c r="B20" s="2" t="s">
        <v>9</v>
      </c>
      <c r="C20" s="55">
        <f t="shared" si="6"/>
        <v>118621.8</v>
      </c>
      <c r="D20" s="45">
        <v>83654.525458707736</v>
      </c>
      <c r="E20" s="8">
        <f t="shared" si="7"/>
        <v>34967.274541292267</v>
      </c>
      <c r="F20" s="9">
        <f>-1+(C20/D20)</f>
        <v>0.41799620940474136</v>
      </c>
      <c r="H20" s="45">
        <v>66229.941337932396</v>
      </c>
      <c r="I20" s="45">
        <v>62430.770000000004</v>
      </c>
      <c r="J20" s="45">
        <v>42630.28</v>
      </c>
      <c r="K20" s="45">
        <v>41701.97</v>
      </c>
      <c r="L20" s="8">
        <v>41075.050000000003</v>
      </c>
      <c r="M20" s="8">
        <v>41938.61</v>
      </c>
      <c r="N20" s="25">
        <v>42591</v>
      </c>
      <c r="P20" s="32">
        <f>[4]SFY21_WIOA_Allocations!F16*0.9</f>
        <v>19803.600000000002</v>
      </c>
      <c r="Q20" s="32">
        <f>[4]SFY21_WIOA_Allocations!G16*0.9</f>
        <v>98818.2</v>
      </c>
      <c r="R20" s="32">
        <f t="shared" si="8"/>
        <v>118621.8</v>
      </c>
    </row>
    <row r="21" spans="2:19" ht="12.75" customHeight="1" thickBot="1" x14ac:dyDescent="0.3">
      <c r="B21" s="2" t="s">
        <v>10</v>
      </c>
      <c r="C21" s="55">
        <f t="shared" si="6"/>
        <v>329419.3</v>
      </c>
      <c r="D21" s="45">
        <v>266830.71091649431</v>
      </c>
      <c r="E21" s="8">
        <f t="shared" si="7"/>
        <v>62588.589083505678</v>
      </c>
      <c r="F21" s="9">
        <f>-1+(C21/D21)</f>
        <v>0.23456291394843598</v>
      </c>
      <c r="H21" s="45">
        <v>230920.48112116518</v>
      </c>
      <c r="I21" s="45">
        <v>193496.62</v>
      </c>
      <c r="J21" s="45">
        <v>119387.44</v>
      </c>
      <c r="K21" s="45">
        <v>107288.06</v>
      </c>
      <c r="L21" s="8">
        <v>103558.48000000001</v>
      </c>
      <c r="M21" s="8">
        <v>110187.19</v>
      </c>
      <c r="N21" s="25">
        <v>128963</v>
      </c>
      <c r="P21" s="32">
        <f>[4]SFY21_WIOA_Allocations!F17*0.9-1.5</f>
        <v>54993</v>
      </c>
      <c r="Q21" s="32">
        <f>[4]SFY21_WIOA_Allocations!G17*0.9+1</f>
        <v>274426.3</v>
      </c>
      <c r="R21" s="32">
        <f t="shared" si="8"/>
        <v>329419.3</v>
      </c>
    </row>
    <row r="22" spans="2:19" ht="12.75" customHeight="1" thickBot="1" x14ac:dyDescent="0.3">
      <c r="C22" s="56">
        <f>SUM(C18:C21)</f>
        <v>735667.6</v>
      </c>
      <c r="D22" s="45">
        <f>SUM(D18:D21)</f>
        <v>544735.41255711229</v>
      </c>
      <c r="E22" s="8">
        <f t="shared" si="7"/>
        <v>190932.18744288769</v>
      </c>
      <c r="F22" s="9">
        <f>-1+(C22/D22)</f>
        <v>0.35050445232963368</v>
      </c>
      <c r="H22" s="45">
        <f>SUM(H18:H21)</f>
        <v>453072.91070602159</v>
      </c>
      <c r="I22" s="45">
        <f t="shared" ref="I22:N22" si="9">SUM(I18:I21)</f>
        <v>416606</v>
      </c>
      <c r="J22" s="45">
        <f t="shared" si="9"/>
        <v>269314</v>
      </c>
      <c r="K22" s="45">
        <f t="shared" si="9"/>
        <v>241461</v>
      </c>
      <c r="L22" s="11">
        <f t="shared" si="9"/>
        <v>217186</v>
      </c>
      <c r="M22" s="11">
        <f t="shared" si="9"/>
        <v>218557</v>
      </c>
      <c r="N22" s="26">
        <f t="shared" si="9"/>
        <v>254065</v>
      </c>
      <c r="P22" s="120">
        <f>SUM(P18:P21)+0.5</f>
        <v>122814.8</v>
      </c>
      <c r="Q22" s="121">
        <f>SUM(Q18:Q21)</f>
        <v>612853.30000000005</v>
      </c>
      <c r="R22" s="120">
        <f>SUM(R18:R21)</f>
        <v>735667.6</v>
      </c>
    </row>
    <row r="23" spans="2:19" ht="12.75" customHeight="1" x14ac:dyDescent="0.25">
      <c r="C23" s="32">
        <f>+C22+C13</f>
        <v>817408.5</v>
      </c>
      <c r="D23" s="13">
        <f>'Scott 5-29-19'!G11</f>
        <v>605261.56950790249</v>
      </c>
      <c r="E23" s="13">
        <f t="shared" si="7"/>
        <v>212146.93049209751</v>
      </c>
      <c r="F23" s="14"/>
      <c r="H23" s="13"/>
      <c r="I23" s="13"/>
      <c r="J23" s="13"/>
      <c r="K23" s="13"/>
      <c r="L23" s="13"/>
      <c r="M23" s="13"/>
      <c r="P23" s="32"/>
      <c r="Q23" s="107"/>
      <c r="R23" s="32"/>
    </row>
    <row r="24" spans="2:19" ht="12.75" customHeight="1" x14ac:dyDescent="0.25">
      <c r="C24" s="32"/>
      <c r="K24" s="32"/>
    </row>
    <row r="25" spans="2:19" ht="18.75" customHeight="1" thickBot="1" x14ac:dyDescent="0.35">
      <c r="B25" s="7" t="s">
        <v>69</v>
      </c>
      <c r="K25" s="32"/>
    </row>
    <row r="26" spans="2:19" ht="40.5" customHeight="1" thickBot="1" x14ac:dyDescent="0.35">
      <c r="B26" s="18" t="s">
        <v>3</v>
      </c>
      <c r="C26" s="43" t="s">
        <v>133</v>
      </c>
      <c r="D26" s="43" t="str">
        <f>D7</f>
        <v>PY19 &amp; FY20 Actual</v>
      </c>
      <c r="E26" s="24" t="s">
        <v>24</v>
      </c>
      <c r="F26" s="24" t="s">
        <v>23</v>
      </c>
      <c r="H26" s="43" t="str">
        <f>H7</f>
        <v>PY18 &amp; FY19 Actual</v>
      </c>
      <c r="I26" s="43" t="str">
        <f>I7</f>
        <v>PY17 &amp; FY18 Actual</v>
      </c>
      <c r="J26" s="43" t="s">
        <v>38</v>
      </c>
      <c r="K26" s="47" t="s">
        <v>37</v>
      </c>
      <c r="L26" s="42" t="s">
        <v>31</v>
      </c>
      <c r="M26" s="42" t="s">
        <v>34</v>
      </c>
      <c r="N26" s="42" t="s">
        <v>35</v>
      </c>
      <c r="P26" s="37" t="str">
        <f>P7</f>
        <v>PY20</v>
      </c>
      <c r="Q26" s="102" t="str">
        <f>Q7</f>
        <v>FY21</v>
      </c>
      <c r="R26" s="35" t="s">
        <v>87</v>
      </c>
    </row>
    <row r="27" spans="2:19" ht="12.75" customHeight="1" x14ac:dyDescent="0.25">
      <c r="B27" s="2" t="s">
        <v>7</v>
      </c>
      <c r="C27" s="55">
        <f t="shared" ref="C27:C31" si="10">P27+Q27</f>
        <v>9583.84</v>
      </c>
      <c r="D27" s="45">
        <v>7669.385815403326</v>
      </c>
      <c r="E27" s="8">
        <f t="shared" ref="E27:E32" si="11">C27-D27</f>
        <v>1914.4541845966742</v>
      </c>
      <c r="F27" s="9">
        <f t="shared" ref="F27:F32" si="12">-1+(C27/D27)</f>
        <v>0.24962288124189191</v>
      </c>
      <c r="H27" s="45">
        <v>7554.1480692834621</v>
      </c>
      <c r="I27" s="45">
        <v>8622.4279999999999</v>
      </c>
      <c r="J27" s="45">
        <v>6979.96</v>
      </c>
      <c r="K27" s="31">
        <v>6776.4679999999998</v>
      </c>
      <c r="L27" s="8">
        <v>5304.4</v>
      </c>
      <c r="M27" s="8">
        <v>4807.5999999999995</v>
      </c>
      <c r="N27" s="25">
        <v>1270</v>
      </c>
      <c r="P27" s="32">
        <f>[4]SFY21_WIOA_Allocations!I14*0.04</f>
        <v>1750.1200000000001</v>
      </c>
      <c r="Q27" s="32">
        <f>[4]SFY21_WIOA_Allocations!J14*0.04</f>
        <v>7833.72</v>
      </c>
      <c r="R27" s="32">
        <f>P27+Q27</f>
        <v>9583.84</v>
      </c>
    </row>
    <row r="28" spans="2:19" ht="12.75" customHeight="1" x14ac:dyDescent="0.25">
      <c r="B28" s="2" t="s">
        <v>8</v>
      </c>
      <c r="C28" s="55">
        <f t="shared" si="10"/>
        <v>3880.56</v>
      </c>
      <c r="D28" s="45">
        <v>3757.5165682195448</v>
      </c>
      <c r="E28" s="8">
        <f t="shared" si="11"/>
        <v>123.04343178045519</v>
      </c>
      <c r="F28" s="9">
        <f t="shared" si="12"/>
        <v>3.2745945239772478E-2</v>
      </c>
      <c r="H28" s="45">
        <v>3908.0299431410194</v>
      </c>
      <c r="I28" s="45">
        <v>3691.6480000000001</v>
      </c>
      <c r="J28" s="45">
        <v>3044.95</v>
      </c>
      <c r="K28" s="31">
        <v>2736.0960000000005</v>
      </c>
      <c r="L28" s="8">
        <v>2617.1999999999998</v>
      </c>
      <c r="M28" s="8">
        <v>1628.8</v>
      </c>
      <c r="N28" s="25">
        <v>1837</v>
      </c>
      <c r="P28" s="32">
        <f>[4]SFY21_WIOA_Allocations!I15*0.04</f>
        <v>708.64</v>
      </c>
      <c r="Q28" s="32">
        <f>[4]SFY21_WIOA_Allocations!J15*0.04</f>
        <v>3171.92</v>
      </c>
      <c r="R28" s="32">
        <f t="shared" ref="R28:R31" si="13">P28+Q28</f>
        <v>3880.56</v>
      </c>
    </row>
    <row r="29" spans="2:19" ht="12.75" customHeight="1" x14ac:dyDescent="0.25">
      <c r="B29" s="2" t="s">
        <v>9</v>
      </c>
      <c r="C29" s="55">
        <f t="shared" si="10"/>
        <v>4412.12</v>
      </c>
      <c r="D29" s="45">
        <v>3767.2592348762428</v>
      </c>
      <c r="E29" s="8">
        <f t="shared" si="11"/>
        <v>644.86076512375712</v>
      </c>
      <c r="F29" s="9">
        <f t="shared" si="12"/>
        <v>0.17117504395604488</v>
      </c>
      <c r="H29" s="45">
        <v>3338.778648922264</v>
      </c>
      <c r="I29" s="45">
        <v>3056.2640000000001</v>
      </c>
      <c r="J29" s="45">
        <v>2332.54</v>
      </c>
      <c r="K29" s="31">
        <v>2299.6760000000004</v>
      </c>
      <c r="L29" s="8">
        <v>2155.6</v>
      </c>
      <c r="M29" s="8">
        <v>1252.4000000000001</v>
      </c>
      <c r="N29" s="25">
        <v>1452</v>
      </c>
      <c r="P29" s="32">
        <f>[4]SFY21_WIOA_Allocations!I16*0.04</f>
        <v>805.68000000000006</v>
      </c>
      <c r="Q29" s="32">
        <f>[4]SFY21_WIOA_Allocations!J16*0.04</f>
        <v>3606.44</v>
      </c>
      <c r="R29" s="32">
        <f t="shared" si="13"/>
        <v>4412.12</v>
      </c>
    </row>
    <row r="30" spans="2:19" ht="12.75" customHeight="1" x14ac:dyDescent="0.25">
      <c r="B30" s="2" t="s">
        <v>10</v>
      </c>
      <c r="C30" s="55">
        <f t="shared" si="10"/>
        <v>8396.2000000000007</v>
      </c>
      <c r="D30" s="45">
        <v>9035.5374379610457</v>
      </c>
      <c r="E30" s="8">
        <f t="shared" si="11"/>
        <v>-639.337437961045</v>
      </c>
      <c r="F30" s="9">
        <f t="shared" si="12"/>
        <v>-7.0758097384998275E-2</v>
      </c>
      <c r="H30" s="45">
        <v>9824.8361513837026</v>
      </c>
      <c r="I30" s="45">
        <v>7702.5</v>
      </c>
      <c r="J30" s="45">
        <v>6123.6900000000005</v>
      </c>
      <c r="K30" s="31">
        <v>5968.1600000000008</v>
      </c>
      <c r="L30" s="8">
        <v>4754</v>
      </c>
      <c r="M30" s="8">
        <v>2608</v>
      </c>
      <c r="N30" s="25">
        <v>4537</v>
      </c>
      <c r="P30" s="32">
        <f>[4]SFY21_WIOA_Allocations!I17*0.04</f>
        <v>1533.24</v>
      </c>
      <c r="Q30" s="32">
        <f>[4]SFY21_WIOA_Allocations!J17*0.04</f>
        <v>6862.96</v>
      </c>
      <c r="R30" s="32">
        <f t="shared" si="13"/>
        <v>8396.2000000000007</v>
      </c>
    </row>
    <row r="31" spans="2:19" ht="12.75" customHeight="1" thickBot="1" x14ac:dyDescent="0.3">
      <c r="B31" s="2" t="s">
        <v>11</v>
      </c>
      <c r="C31" s="55">
        <f t="shared" si="10"/>
        <v>39409.079999999994</v>
      </c>
      <c r="D31" s="45">
        <v>36344.548584690237</v>
      </c>
      <c r="E31" s="8">
        <f t="shared" si="11"/>
        <v>3064.531415309757</v>
      </c>
      <c r="F31" s="9">
        <f t="shared" si="12"/>
        <v>8.4318874071823258E-2</v>
      </c>
      <c r="H31" s="45">
        <v>36938.689219095671</v>
      </c>
      <c r="I31" s="45">
        <v>34610.160000000003</v>
      </c>
      <c r="J31" s="45">
        <v>27718.86</v>
      </c>
      <c r="K31" s="31">
        <v>26670.6</v>
      </c>
      <c r="L31" s="8">
        <v>22249.8</v>
      </c>
      <c r="M31" s="8">
        <v>15445.2</v>
      </c>
      <c r="N31" s="25">
        <v>13644</v>
      </c>
      <c r="P31" s="32">
        <f>[4]SFY21_WIOA_Allocations!I18*0.06</f>
        <v>7196.5199999999995</v>
      </c>
      <c r="Q31" s="32">
        <f>[4]SFY21_WIOA_Allocations!J18*0.06</f>
        <v>32212.559999999998</v>
      </c>
      <c r="R31" s="32">
        <f t="shared" si="13"/>
        <v>39409.079999999994</v>
      </c>
      <c r="S31" s="32">
        <f>R31-P32</f>
        <v>27414.879999999994</v>
      </c>
    </row>
    <row r="32" spans="2:19" ht="12.75" customHeight="1" thickBot="1" x14ac:dyDescent="0.3">
      <c r="C32" s="56">
        <f>SUM(C27:C31)</f>
        <v>65681.799999999988</v>
      </c>
      <c r="D32" s="45">
        <f>SUM(D27:D31)</f>
        <v>60574.247641150396</v>
      </c>
      <c r="E32" s="8">
        <f t="shared" si="11"/>
        <v>5107.5523588495926</v>
      </c>
      <c r="F32" s="9">
        <f t="shared" si="12"/>
        <v>8.4318874071823258E-2</v>
      </c>
      <c r="H32" s="45">
        <f>SUM(H27:H31)</f>
        <v>61564.482031826119</v>
      </c>
      <c r="I32" s="45">
        <f t="shared" ref="I32:N32" si="14">SUM(I27:I31)</f>
        <v>57683</v>
      </c>
      <c r="J32" s="45">
        <f t="shared" si="14"/>
        <v>46200</v>
      </c>
      <c r="K32" s="31">
        <f t="shared" si="14"/>
        <v>44451</v>
      </c>
      <c r="L32" s="11">
        <f t="shared" si="14"/>
        <v>37081</v>
      </c>
      <c r="M32" s="11">
        <f t="shared" si="14"/>
        <v>25742</v>
      </c>
      <c r="N32" s="26">
        <f t="shared" si="14"/>
        <v>22740</v>
      </c>
      <c r="P32" s="118">
        <f t="shared" ref="P32:Q32" si="15">SUM(P27:P31)</f>
        <v>11994.2</v>
      </c>
      <c r="Q32" s="119">
        <f t="shared" si="15"/>
        <v>53687.6</v>
      </c>
      <c r="R32" s="118">
        <f>SUM(R27:R31)</f>
        <v>65681.799999999988</v>
      </c>
    </row>
    <row r="33" spans="2:19" ht="12.75" customHeight="1" x14ac:dyDescent="0.25">
      <c r="C33" s="32"/>
      <c r="E33" s="13"/>
      <c r="F33" s="14"/>
      <c r="K33" s="32"/>
      <c r="L33" s="13"/>
      <c r="M33" s="13"/>
      <c r="P33" s="32"/>
      <c r="Q33" s="107"/>
      <c r="R33" s="32">
        <f>'Scott 5-29-19'!L11*0.1</f>
        <v>60574.247641150403</v>
      </c>
    </row>
    <row r="34" spans="2:19" ht="12.75" customHeight="1" x14ac:dyDescent="0.25">
      <c r="C34" s="32"/>
      <c r="E34" s="13"/>
      <c r="F34" s="14"/>
      <c r="K34" s="32"/>
      <c r="L34" s="13"/>
      <c r="M34" s="13"/>
      <c r="P34" s="96"/>
    </row>
    <row r="35" spans="2:19" ht="18" customHeight="1" thickBot="1" x14ac:dyDescent="0.35">
      <c r="B35" s="7" t="s">
        <v>18</v>
      </c>
      <c r="K35" s="32"/>
    </row>
    <row r="36" spans="2:19" ht="40.5" customHeight="1" thickBot="1" x14ac:dyDescent="0.35">
      <c r="B36" s="18" t="s">
        <v>3</v>
      </c>
      <c r="C36" s="43" t="s">
        <v>133</v>
      </c>
      <c r="D36" s="43" t="str">
        <f>D7</f>
        <v>PY19 &amp; FY20 Actual</v>
      </c>
      <c r="E36" s="24" t="s">
        <v>24</v>
      </c>
      <c r="F36" s="24" t="s">
        <v>23</v>
      </c>
      <c r="H36" s="43" t="str">
        <f>H7</f>
        <v>PY18 &amp; FY19 Actual</v>
      </c>
      <c r="I36" s="43" t="str">
        <f>I7</f>
        <v>PY17 &amp; FY18 Actual</v>
      </c>
      <c r="J36" s="43" t="s">
        <v>38</v>
      </c>
      <c r="K36" s="47" t="s">
        <v>37</v>
      </c>
      <c r="L36" s="42" t="s">
        <v>31</v>
      </c>
      <c r="M36" s="42" t="s">
        <v>34</v>
      </c>
      <c r="N36" s="42" t="s">
        <v>35</v>
      </c>
      <c r="P36" s="37" t="str">
        <f>P26</f>
        <v>PY20</v>
      </c>
      <c r="Q36" s="102" t="str">
        <f>Q26</f>
        <v>FY21</v>
      </c>
      <c r="R36" s="35" t="s">
        <v>87</v>
      </c>
    </row>
    <row r="37" spans="2:19" ht="12.75" customHeight="1" x14ac:dyDescent="0.25">
      <c r="B37" s="2" t="s">
        <v>7</v>
      </c>
      <c r="C37" s="55">
        <f t="shared" ref="C37:C40" si="16">P37+Q37</f>
        <v>215636.40000000002</v>
      </c>
      <c r="D37" s="45">
        <v>172561.18084657483</v>
      </c>
      <c r="E37" s="8">
        <f>C37-D37</f>
        <v>43075.219153425191</v>
      </c>
      <c r="F37" s="9">
        <f>-1+(C37/D37)</f>
        <v>0.24962288124189191</v>
      </c>
      <c r="H37" s="45">
        <v>169968.33155887789</v>
      </c>
      <c r="I37" s="45">
        <v>194000.71000000002</v>
      </c>
      <c r="J37" s="45">
        <v>157036.51</v>
      </c>
      <c r="K37" s="31">
        <v>152464.54999999999</v>
      </c>
      <c r="L37" s="8">
        <v>119359</v>
      </c>
      <c r="M37" s="8">
        <v>108168</v>
      </c>
      <c r="N37" s="25">
        <v>28583</v>
      </c>
      <c r="P37" s="32">
        <f>[4]SFY21_WIOA_Allocations!I14*0.9</f>
        <v>39377.700000000004</v>
      </c>
      <c r="Q37" s="32">
        <f>[4]SFY21_WIOA_Allocations!J14*0.9</f>
        <v>176258.7</v>
      </c>
      <c r="R37" s="32">
        <f>P37+Q37</f>
        <v>215636.40000000002</v>
      </c>
    </row>
    <row r="38" spans="2:19" ht="12.75" customHeight="1" x14ac:dyDescent="0.25">
      <c r="B38" s="2" t="s">
        <v>8</v>
      </c>
      <c r="C38" s="55">
        <f t="shared" si="16"/>
        <v>87312.599999999991</v>
      </c>
      <c r="D38" s="45">
        <v>84544.122784939755</v>
      </c>
      <c r="E38" s="8">
        <f>C38-D38</f>
        <v>2768.4772150602366</v>
      </c>
      <c r="F38" s="9">
        <f>-1+(C38/D38)</f>
        <v>3.2745945239772478E-2</v>
      </c>
      <c r="H38" s="45">
        <v>87930.67372067293</v>
      </c>
      <c r="I38" s="45">
        <v>83063.359999999986</v>
      </c>
      <c r="J38" s="45">
        <v>68508.66</v>
      </c>
      <c r="K38" s="31">
        <v>61567.9</v>
      </c>
      <c r="L38" s="8">
        <v>58892</v>
      </c>
      <c r="M38" s="8">
        <v>36638</v>
      </c>
      <c r="N38" s="25">
        <v>41330</v>
      </c>
      <c r="P38" s="32">
        <f>[4]SFY21_WIOA_Allocations!I15*0.9</f>
        <v>15944.4</v>
      </c>
      <c r="Q38" s="32">
        <f>[4]SFY21_WIOA_Allocations!J15*0.9</f>
        <v>71368.2</v>
      </c>
      <c r="R38" s="32">
        <f t="shared" ref="R38:R40" si="17">P38+Q38</f>
        <v>87312.599999999991</v>
      </c>
    </row>
    <row r="39" spans="2:19" ht="12.75" customHeight="1" x14ac:dyDescent="0.25">
      <c r="B39" s="2" t="s">
        <v>9</v>
      </c>
      <c r="C39" s="55">
        <f t="shared" si="16"/>
        <v>99272.700000000012</v>
      </c>
      <c r="D39" s="45">
        <v>84763.332784715458</v>
      </c>
      <c r="E39" s="8">
        <f>C39-D39</f>
        <v>14509.367215284554</v>
      </c>
      <c r="F39" s="9">
        <f>-1+(C39/D39)</f>
        <v>0.1711750439560451</v>
      </c>
      <c r="H39" s="45">
        <v>75122.519600750951</v>
      </c>
      <c r="I39" s="45">
        <v>68763.22</v>
      </c>
      <c r="J39" s="45">
        <v>52464.71</v>
      </c>
      <c r="K39" s="31">
        <v>51740.75</v>
      </c>
      <c r="L39" s="8">
        <v>48509</v>
      </c>
      <c r="M39" s="8">
        <v>28172</v>
      </c>
      <c r="N39" s="25">
        <v>32670</v>
      </c>
      <c r="P39" s="32">
        <f>[4]SFY21_WIOA_Allocations!I16*0.9</f>
        <v>18127.8</v>
      </c>
      <c r="Q39" s="32">
        <f>[4]SFY21_WIOA_Allocations!J16*0.9</f>
        <v>81144.900000000009</v>
      </c>
      <c r="R39" s="32">
        <f t="shared" si="17"/>
        <v>99272.700000000012</v>
      </c>
    </row>
    <row r="40" spans="2:19" ht="12.75" customHeight="1" thickBot="1" x14ac:dyDescent="0.3">
      <c r="B40" s="2" t="s">
        <v>10</v>
      </c>
      <c r="C40" s="55">
        <f t="shared" si="16"/>
        <v>188914</v>
      </c>
      <c r="D40" s="45">
        <v>203299.59235412348</v>
      </c>
      <c r="E40" s="46">
        <f>C40-D40</f>
        <v>-14385.592354123481</v>
      </c>
      <c r="F40" s="9">
        <f>-1+(C40/D40)</f>
        <v>-7.0760556809506547E-2</v>
      </c>
      <c r="H40" s="45">
        <v>221058.8134061333</v>
      </c>
      <c r="I40" s="45">
        <v>173301.71</v>
      </c>
      <c r="J40" s="45">
        <v>137771.12</v>
      </c>
      <c r="K40" s="50">
        <v>134289.79999999999</v>
      </c>
      <c r="L40" s="8">
        <v>106973</v>
      </c>
      <c r="M40" s="8">
        <v>58678</v>
      </c>
      <c r="N40" s="25">
        <v>102070</v>
      </c>
      <c r="P40" s="32">
        <f>[4]SFY21_WIOA_Allocations!I17*0.9-0.5</f>
        <v>34497.4</v>
      </c>
      <c r="Q40" s="32">
        <f>[4]SFY21_WIOA_Allocations!J17*0.9</f>
        <v>154416.6</v>
      </c>
      <c r="R40" s="32">
        <f t="shared" si="17"/>
        <v>188914</v>
      </c>
    </row>
    <row r="41" spans="2:19" ht="12.75" customHeight="1" thickBot="1" x14ac:dyDescent="0.3">
      <c r="C41" s="56">
        <f>SUM(C37:C40)</f>
        <v>591135.69999999995</v>
      </c>
      <c r="D41" s="45">
        <f>SUM(D37:D40)</f>
        <v>545168.2287703536</v>
      </c>
      <c r="E41" s="45">
        <f t="shared" ref="E41" si="18">SUM(E37:E40)</f>
        <v>45967.4712296465</v>
      </c>
      <c r="F41" s="39">
        <f>-1+(C41/D41)</f>
        <v>8.4317956923732673E-2</v>
      </c>
      <c r="H41" s="45">
        <f>SUM(H37:H40)</f>
        <v>554080.33828643512</v>
      </c>
      <c r="I41" s="45">
        <f>SUM(I37:I40)</f>
        <v>519129</v>
      </c>
      <c r="J41" s="45">
        <f>SUM(J37:J40)</f>
        <v>415781</v>
      </c>
      <c r="K41" s="31">
        <f t="shared" ref="K41" si="19">SUM(K37:K40)</f>
        <v>400062.99999999994</v>
      </c>
      <c r="L41" s="11">
        <f>SUM(L37:L40)</f>
        <v>333733</v>
      </c>
      <c r="M41" s="11">
        <f>SUM(M37:M40)</f>
        <v>231656</v>
      </c>
      <c r="N41" s="26">
        <f>SUM(N37:N40)</f>
        <v>204653</v>
      </c>
      <c r="P41" s="120">
        <f>SUM(P37:P40)</f>
        <v>107947.30000000002</v>
      </c>
      <c r="Q41" s="121">
        <f>SUM(Q37:Q40)+1</f>
        <v>483189.4</v>
      </c>
      <c r="R41" s="120">
        <f>SUM(R37:R40)</f>
        <v>591135.69999999995</v>
      </c>
    </row>
    <row r="42" spans="2:19" ht="12.75" customHeight="1" x14ac:dyDescent="0.25">
      <c r="C42" s="32">
        <f>C41+C32</f>
        <v>656817.5</v>
      </c>
      <c r="D42" s="13">
        <f>'Scott 5-29-19'!L11</f>
        <v>605742.47641150397</v>
      </c>
      <c r="E42" s="13"/>
      <c r="F42" s="14"/>
      <c r="H42" s="13"/>
      <c r="I42" s="13"/>
      <c r="J42" s="13"/>
      <c r="K42" s="32"/>
      <c r="L42" s="13"/>
      <c r="M42" s="13"/>
      <c r="P42" s="32"/>
      <c r="Q42" s="107"/>
      <c r="R42" s="32">
        <f>'Scott 5-29-19'!L11*0.9</f>
        <v>545168.2287703536</v>
      </c>
    </row>
    <row r="43" spans="2:19" ht="12.75" customHeight="1" x14ac:dyDescent="0.25">
      <c r="C43" s="32"/>
      <c r="K43" s="32"/>
    </row>
    <row r="44" spans="2:19" ht="12.75" hidden="1" customHeight="1" x14ac:dyDescent="0.25">
      <c r="C44" s="32"/>
      <c r="K44" s="32"/>
    </row>
    <row r="45" spans="2:19" ht="12.75" hidden="1" customHeight="1" x14ac:dyDescent="0.25">
      <c r="C45" s="32"/>
      <c r="K45" s="32"/>
    </row>
    <row r="46" spans="2:19" ht="17.25" customHeight="1" x14ac:dyDescent="0.3">
      <c r="B46" s="7" t="s">
        <v>70</v>
      </c>
      <c r="C46" s="32"/>
      <c r="K46" s="32"/>
    </row>
    <row r="47" spans="2:19" ht="12.75" customHeight="1" x14ac:dyDescent="0.25">
      <c r="B47" s="18" t="s">
        <v>3</v>
      </c>
      <c r="C47" s="51" t="s">
        <v>134</v>
      </c>
      <c r="D47" s="51" t="s">
        <v>111</v>
      </c>
      <c r="E47" s="24" t="s">
        <v>24</v>
      </c>
      <c r="F47" s="24" t="s">
        <v>23</v>
      </c>
      <c r="H47" s="51" t="s">
        <v>135</v>
      </c>
      <c r="I47" s="51" t="s">
        <v>43</v>
      </c>
      <c r="J47" s="51" t="s">
        <v>36</v>
      </c>
      <c r="K47" s="51" t="s">
        <v>136</v>
      </c>
      <c r="L47" s="36" t="s">
        <v>137</v>
      </c>
      <c r="M47" s="36" t="s">
        <v>138</v>
      </c>
      <c r="N47" s="33" t="s">
        <v>21</v>
      </c>
      <c r="Q47" s="107"/>
    </row>
    <row r="48" spans="2:19" ht="12.75" customHeight="1" x14ac:dyDescent="0.25">
      <c r="B48" s="2" t="s">
        <v>7</v>
      </c>
      <c r="C48" s="30">
        <f>[4]SFY21_WIOA_Allocations!C14*0.04</f>
        <v>7997.72</v>
      </c>
      <c r="D48" s="30">
        <v>4921.2379251626808</v>
      </c>
      <c r="E48" s="8">
        <f t="shared" ref="E48:E53" si="20">C48-D48</f>
        <v>3076.4820748373195</v>
      </c>
      <c r="F48" s="9">
        <f t="shared" ref="F48:F53" si="21">-1+(C48/D48)</f>
        <v>0.62514394175234278</v>
      </c>
      <c r="H48" s="30">
        <v>3853.2622609954697</v>
      </c>
      <c r="I48" s="30">
        <v>4253.3999999999996</v>
      </c>
      <c r="J48" s="30">
        <v>2799.01</v>
      </c>
      <c r="K48" s="30">
        <v>2190.2959999999998</v>
      </c>
      <c r="L48" s="8">
        <v>1442.6440000000002</v>
      </c>
      <c r="M48" s="8">
        <v>1293.8320000000001</v>
      </c>
      <c r="N48" s="29">
        <v>2036</v>
      </c>
      <c r="Q48" s="107"/>
      <c r="S48" s="96"/>
    </row>
    <row r="49" spans="2:19" ht="12.75" customHeight="1" x14ac:dyDescent="0.25">
      <c r="B49" s="2" t="s">
        <v>8</v>
      </c>
      <c r="C49" s="30">
        <f>[4]SFY21_WIOA_Allocations!C15*0.04</f>
        <v>5278.68</v>
      </c>
      <c r="D49" s="30">
        <v>3940.7546689156206</v>
      </c>
      <c r="E49" s="8">
        <f t="shared" si="20"/>
        <v>1337.9253310843796</v>
      </c>
      <c r="F49" s="9">
        <f t="shared" si="21"/>
        <v>0.3395099272831763</v>
      </c>
      <c r="H49" s="30">
        <v>3248.1932610225649</v>
      </c>
      <c r="I49" s="30">
        <v>3147.7200000000003</v>
      </c>
      <c r="J49" s="30">
        <v>2080.59</v>
      </c>
      <c r="K49" s="30">
        <v>1943.5160000000001</v>
      </c>
      <c r="L49" s="8">
        <v>1759.3200000000002</v>
      </c>
      <c r="M49" s="8">
        <v>1737.36</v>
      </c>
      <c r="N49" s="30">
        <v>2688</v>
      </c>
      <c r="Q49" s="107"/>
      <c r="S49" s="96"/>
    </row>
    <row r="50" spans="2:19" ht="12.75" customHeight="1" x14ac:dyDescent="0.25">
      <c r="B50" s="2" t="s">
        <v>9</v>
      </c>
      <c r="C50" s="30">
        <f>[4]SFY21_WIOA_Allocations!C16*0.04</f>
        <v>5019.5600000000004</v>
      </c>
      <c r="D50" s="30">
        <v>3371.3087341660712</v>
      </c>
      <c r="E50" s="8">
        <f t="shared" si="20"/>
        <v>1648.2512658339292</v>
      </c>
      <c r="F50" s="9">
        <f t="shared" si="21"/>
        <v>0.48890546544430968</v>
      </c>
      <c r="H50" s="30">
        <v>2636.2756834755978</v>
      </c>
      <c r="I50" s="30">
        <v>2567.08</v>
      </c>
      <c r="J50" s="30">
        <v>1596.86</v>
      </c>
      <c r="K50" s="30">
        <v>1481.4960000000001</v>
      </c>
      <c r="L50" s="8">
        <v>1488.2280000000001</v>
      </c>
      <c r="M50" s="8">
        <v>1584.924</v>
      </c>
      <c r="N50" s="30">
        <v>1915</v>
      </c>
      <c r="Q50" s="107"/>
      <c r="S50" s="96"/>
    </row>
    <row r="51" spans="2:19" ht="12.75" customHeight="1" x14ac:dyDescent="0.25">
      <c r="B51" s="2" t="s">
        <v>10</v>
      </c>
      <c r="C51" s="30">
        <f>[4]SFY21_WIOA_Allocations!C17*0.04</f>
        <v>15374.48</v>
      </c>
      <c r="D51" s="30">
        <v>12433.9576300176</v>
      </c>
      <c r="E51" s="8">
        <f t="shared" si="20"/>
        <v>2940.5223699824001</v>
      </c>
      <c r="F51" s="9">
        <f t="shared" si="21"/>
        <v>0.23649126508871965</v>
      </c>
      <c r="H51" s="30">
        <v>10775.808739940587</v>
      </c>
      <c r="I51" s="30">
        <v>8923.56</v>
      </c>
      <c r="J51" s="30">
        <v>5418.14</v>
      </c>
      <c r="K51" s="30">
        <v>4796.2920000000004</v>
      </c>
      <c r="L51" s="8">
        <v>4646.2080000000005</v>
      </c>
      <c r="M51" s="8">
        <v>5179.0839999999998</v>
      </c>
      <c r="N51" s="30">
        <v>5158</v>
      </c>
      <c r="S51" s="96"/>
    </row>
    <row r="52" spans="2:19" ht="12.75" customHeight="1" thickBot="1" x14ac:dyDescent="0.3">
      <c r="B52" s="2" t="s">
        <v>11</v>
      </c>
      <c r="C52" s="30">
        <f>[4]SFY21_WIOA_Allocations!C18*0.06</f>
        <v>50505.659999999996</v>
      </c>
      <c r="D52" s="30">
        <v>37000.888437392954</v>
      </c>
      <c r="E52" s="8">
        <f t="shared" si="20"/>
        <v>13504.771562607042</v>
      </c>
      <c r="F52" s="9">
        <f t="shared" si="21"/>
        <v>0.36498506206027126</v>
      </c>
      <c r="H52" s="52">
        <v>30770.309918151328</v>
      </c>
      <c r="I52" s="52">
        <v>28337.239999999998</v>
      </c>
      <c r="J52" s="30">
        <v>17843.399999999998</v>
      </c>
      <c r="K52" s="52">
        <v>15617.4</v>
      </c>
      <c r="L52" s="8">
        <v>14004.6</v>
      </c>
      <c r="M52" s="8">
        <v>14692.8</v>
      </c>
      <c r="N52" s="30">
        <v>17696</v>
      </c>
      <c r="S52" s="96"/>
    </row>
    <row r="53" spans="2:19" ht="12.75" customHeight="1" thickBot="1" x14ac:dyDescent="0.3">
      <c r="C53" s="56">
        <f>SUM(C48:C52)</f>
        <v>84176.1</v>
      </c>
      <c r="D53" s="11">
        <f>SUM(D48:D52)</f>
        <v>61668.147395654923</v>
      </c>
      <c r="E53" s="11">
        <f t="shared" si="20"/>
        <v>22507.952604345082</v>
      </c>
      <c r="F53" s="9">
        <f t="shared" si="21"/>
        <v>0.36498506206027148</v>
      </c>
      <c r="H53" s="45">
        <f t="shared" ref="H53:M53" si="22">SUM(H48:H52)</f>
        <v>51283.84986358555</v>
      </c>
      <c r="I53" s="31">
        <f t="shared" si="22"/>
        <v>47229</v>
      </c>
      <c r="J53" s="11">
        <f t="shared" si="22"/>
        <v>29738</v>
      </c>
      <c r="K53" s="31">
        <f t="shared" si="22"/>
        <v>26029</v>
      </c>
      <c r="L53" s="11">
        <f t="shared" si="22"/>
        <v>23341</v>
      </c>
      <c r="M53" s="11">
        <f t="shared" si="22"/>
        <v>24488</v>
      </c>
      <c r="N53" s="31">
        <v>29493</v>
      </c>
      <c r="S53" s="96">
        <f>C53-C52</f>
        <v>33670.44000000001</v>
      </c>
    </row>
    <row r="54" spans="2:19" ht="12.75" customHeight="1" x14ac:dyDescent="0.25">
      <c r="C54" s="32"/>
      <c r="D54" s="32"/>
      <c r="H54" s="32"/>
      <c r="I54" s="32"/>
      <c r="J54" s="32"/>
      <c r="K54" s="32"/>
      <c r="N54" s="32"/>
    </row>
    <row r="55" spans="2:19" ht="12.75" customHeight="1" x14ac:dyDescent="0.25">
      <c r="C55" s="32"/>
      <c r="D55" s="32"/>
      <c r="H55" s="32"/>
      <c r="I55" s="32"/>
      <c r="J55" s="32"/>
      <c r="K55" s="32"/>
      <c r="N55" s="32"/>
    </row>
    <row r="56" spans="2:19" ht="12.75" customHeight="1" x14ac:dyDescent="0.3">
      <c r="B56" s="7" t="s">
        <v>71</v>
      </c>
      <c r="C56" s="32"/>
      <c r="D56" s="32"/>
      <c r="H56" s="32"/>
      <c r="I56" s="32"/>
      <c r="J56" s="32"/>
      <c r="K56" s="32"/>
      <c r="N56" s="32"/>
    </row>
    <row r="57" spans="2:19" ht="12.75" customHeight="1" x14ac:dyDescent="0.25">
      <c r="B57" s="18" t="s">
        <v>3</v>
      </c>
      <c r="C57" s="51" t="str">
        <f>C47</f>
        <v>PY 20</v>
      </c>
      <c r="D57" s="51" t="str">
        <f>D47</f>
        <v xml:space="preserve">PY19 </v>
      </c>
      <c r="E57" s="24" t="s">
        <v>24</v>
      </c>
      <c r="F57" s="24" t="s">
        <v>23</v>
      </c>
      <c r="H57" s="51" t="str">
        <f t="shared" ref="H57:M57" si="23">H47</f>
        <v xml:space="preserve">PY18 </v>
      </c>
      <c r="I57" s="51" t="str">
        <f t="shared" si="23"/>
        <v>PY17 Final</v>
      </c>
      <c r="J57" s="51" t="str">
        <f t="shared" si="23"/>
        <v>PY16 Final</v>
      </c>
      <c r="K57" s="51" t="str">
        <f t="shared" si="23"/>
        <v xml:space="preserve">PY15 </v>
      </c>
      <c r="L57" s="28" t="str">
        <f t="shared" si="23"/>
        <v>PY14</v>
      </c>
      <c r="M57" s="36" t="str">
        <f t="shared" si="23"/>
        <v>PY13</v>
      </c>
      <c r="N57" s="33" t="s">
        <v>21</v>
      </c>
    </row>
    <row r="58" spans="2:19" ht="12.75" customHeight="1" x14ac:dyDescent="0.25">
      <c r="B58" s="2" t="s">
        <v>7</v>
      </c>
      <c r="C58" s="30">
        <f>[4]SFY21_WIOA_Allocations!C14*0.9</f>
        <v>179948.7</v>
      </c>
      <c r="D58" s="30">
        <v>110727.85331616033</v>
      </c>
      <c r="E58" s="8">
        <f>C58-D58</f>
        <v>69220.846683839685</v>
      </c>
      <c r="F58" s="9">
        <f>-1+(C58/D58)</f>
        <v>0.62514394175234278</v>
      </c>
      <c r="H58" s="30">
        <v>86698.400872398066</v>
      </c>
      <c r="I58" s="30">
        <v>95701.39</v>
      </c>
      <c r="J58" s="30">
        <v>62977.34</v>
      </c>
      <c r="K58" s="30">
        <v>49275.12</v>
      </c>
      <c r="L58" s="8">
        <v>32458.95</v>
      </c>
      <c r="M58" s="8">
        <v>29111.09</v>
      </c>
      <c r="N58" s="29">
        <v>45806</v>
      </c>
    </row>
    <row r="59" spans="2:19" ht="12.75" customHeight="1" x14ac:dyDescent="0.25">
      <c r="B59" s="2" t="s">
        <v>8</v>
      </c>
      <c r="C59" s="30">
        <f>[4]SFY21_WIOA_Allocations!C15*0.9</f>
        <v>118770.3</v>
      </c>
      <c r="D59" s="30">
        <v>88666.980050601458</v>
      </c>
      <c r="E59" s="8">
        <f>C59-D59</f>
        <v>30103.319949398545</v>
      </c>
      <c r="F59" s="9">
        <f>-1+(C59/D59)</f>
        <v>0.3395099272831763</v>
      </c>
      <c r="H59" s="30">
        <v>73084.348373007713</v>
      </c>
      <c r="I59" s="30">
        <v>70823.56</v>
      </c>
      <c r="J59" s="30">
        <v>46824.45</v>
      </c>
      <c r="K59" s="30">
        <v>43728.45</v>
      </c>
      <c r="L59" s="8">
        <v>39584.300000000003</v>
      </c>
      <c r="M59" s="8">
        <v>39091.47</v>
      </c>
      <c r="N59" s="30">
        <v>60495</v>
      </c>
    </row>
    <row r="60" spans="2:19" ht="12.75" customHeight="1" x14ac:dyDescent="0.25">
      <c r="B60" s="2" t="s">
        <v>9</v>
      </c>
      <c r="C60" s="30">
        <f>[4]SFY21_WIOA_Allocations!C16*0.9</f>
        <v>112940.1</v>
      </c>
      <c r="D60" s="30">
        <v>75854.4465187366</v>
      </c>
      <c r="E60" s="8">
        <f>C60-D60</f>
        <v>37085.653481263405</v>
      </c>
      <c r="F60" s="9">
        <f>-1+(C60/D60)</f>
        <v>0.48890546544430946</v>
      </c>
      <c r="H60" s="30">
        <v>59316.202878200951</v>
      </c>
      <c r="I60" s="30">
        <v>57759.56</v>
      </c>
      <c r="J60" s="30">
        <v>35937.519999999997</v>
      </c>
      <c r="K60" s="30">
        <v>33333.94</v>
      </c>
      <c r="L60" s="8">
        <v>33483.57</v>
      </c>
      <c r="M60" s="8">
        <v>35659.57</v>
      </c>
      <c r="N60" s="30">
        <v>43091</v>
      </c>
    </row>
    <row r="61" spans="2:19" ht="13.8" thickBot="1" x14ac:dyDescent="0.3">
      <c r="B61" s="2" t="s">
        <v>10</v>
      </c>
      <c r="C61" s="30">
        <f>[4]SFY21_WIOA_Allocations!C17*0.9</f>
        <v>345925.8</v>
      </c>
      <c r="D61" s="52">
        <v>279764.04667539604</v>
      </c>
      <c r="E61" s="8">
        <f>C61-D61</f>
        <v>66161.753324603953</v>
      </c>
      <c r="F61" s="9">
        <f>-1+(C61/D61)</f>
        <v>0.23649126508871943</v>
      </c>
      <c r="H61" s="52">
        <v>242455.6966486632</v>
      </c>
      <c r="I61" s="52">
        <v>200779.49</v>
      </c>
      <c r="J61" s="52">
        <v>121913.69</v>
      </c>
      <c r="K61" s="52">
        <v>107921.49</v>
      </c>
      <c r="L61" s="8">
        <v>104539.18</v>
      </c>
      <c r="M61" s="8">
        <v>116527.87</v>
      </c>
      <c r="N61" s="30">
        <v>116044</v>
      </c>
    </row>
    <row r="62" spans="2:19" ht="13.8" thickBot="1" x14ac:dyDescent="0.3">
      <c r="C62" s="57">
        <f>SUM(C58:C61)</f>
        <v>757584.89999999991</v>
      </c>
      <c r="D62" s="31">
        <f>SUM(D58:D61)</f>
        <v>555013.32656089449</v>
      </c>
      <c r="E62" s="11">
        <f>C62-D62</f>
        <v>202571.57343910541</v>
      </c>
      <c r="F62" s="9">
        <f>-1+(C62/D62)</f>
        <v>0.36498506206027082</v>
      </c>
      <c r="H62" s="31">
        <f t="shared" ref="H62:M62" si="24">SUM(H58:H61)</f>
        <v>461554.64877226995</v>
      </c>
      <c r="I62" s="31">
        <f t="shared" si="24"/>
        <v>425064</v>
      </c>
      <c r="J62" s="31">
        <f t="shared" si="24"/>
        <v>267653</v>
      </c>
      <c r="K62" s="31">
        <f t="shared" si="24"/>
        <v>234259</v>
      </c>
      <c r="L62" s="11">
        <f t="shared" si="24"/>
        <v>210066</v>
      </c>
      <c r="M62" s="11">
        <f t="shared" si="24"/>
        <v>220390</v>
      </c>
      <c r="N62" s="30">
        <v>265436</v>
      </c>
    </row>
    <row r="63" spans="2:19" x14ac:dyDescent="0.25">
      <c r="C63" s="32">
        <f>C62+C53</f>
        <v>841760.99999999988</v>
      </c>
      <c r="D63" s="32"/>
      <c r="H63" s="32"/>
      <c r="I63" s="32"/>
      <c r="J63" s="32"/>
      <c r="K63" s="32"/>
      <c r="N63" s="32"/>
    </row>
    <row r="64" spans="2:19" x14ac:dyDescent="0.25">
      <c r="B64" s="23" t="s">
        <v>26</v>
      </c>
      <c r="C64" s="13">
        <f>C13+C22+C32+C41+C53+C62</f>
        <v>2315987</v>
      </c>
      <c r="D64" s="13">
        <f>D13+D22+D32+D41+D53+D62</f>
        <v>1827685.5198759558</v>
      </c>
      <c r="H64" s="13">
        <f>H13+H22+H32+H41+H53+H62</f>
        <v>1631897.6641830297</v>
      </c>
      <c r="I64" s="13">
        <f t="shared" ref="I64:N64" si="25">I13+I22+I32+I41+I53+I62</f>
        <v>1512000</v>
      </c>
      <c r="J64" s="13">
        <f t="shared" si="25"/>
        <v>1058610</v>
      </c>
      <c r="K64" s="13">
        <f t="shared" si="25"/>
        <v>973092.99</v>
      </c>
      <c r="L64" s="13">
        <f t="shared" si="25"/>
        <v>845539.99</v>
      </c>
      <c r="M64" s="13">
        <f t="shared" si="25"/>
        <v>745119</v>
      </c>
      <c r="N64" s="13">
        <f t="shared" si="25"/>
        <v>804617</v>
      </c>
    </row>
    <row r="65" spans="2:16" x14ac:dyDescent="0.25">
      <c r="B65" t="s">
        <v>32</v>
      </c>
      <c r="C65" s="38">
        <f>C64/D64</f>
        <v>1.2671693104824648</v>
      </c>
      <c r="D65" s="38">
        <f>D64/H64</f>
        <v>1.119975571992097</v>
      </c>
      <c r="H65" s="38">
        <f>H64/M64</f>
        <v>2.1901168325905389</v>
      </c>
      <c r="I65" s="38">
        <f>I64/J64</f>
        <v>1.428288038087681</v>
      </c>
      <c r="J65" s="38">
        <f>J64/K64</f>
        <v>1.0878816422261968</v>
      </c>
      <c r="K65" s="38">
        <f>K64/L64</f>
        <v>1.1508538939713544</v>
      </c>
      <c r="L65" s="38">
        <f>L64/M64</f>
        <v>1.1347717478684614</v>
      </c>
      <c r="M65" s="38">
        <f>M64/N64</f>
        <v>0.92605425935569341</v>
      </c>
    </row>
    <row r="66" spans="2:16" x14ac:dyDescent="0.25">
      <c r="D66" t="s">
        <v>106</v>
      </c>
      <c r="E66" t="s">
        <v>107</v>
      </c>
      <c r="P66" s="23" t="s">
        <v>108</v>
      </c>
    </row>
    <row r="67" spans="2:16" x14ac:dyDescent="0.25">
      <c r="D67" s="13">
        <f>D18+D37+D58</f>
        <v>391577.04939207778</v>
      </c>
      <c r="E67" s="13">
        <f>D67-'[5]20-21 MOU'!$B$65</f>
        <v>357370.5922977702</v>
      </c>
      <c r="P67" s="6">
        <f>R8+R27+C48</f>
        <v>25283</v>
      </c>
    </row>
    <row r="68" spans="2:16" x14ac:dyDescent="0.25">
      <c r="D68" s="13">
        <f t="shared" ref="D68:D69" si="26">D19+D38+D59</f>
        <v>259173.26378810877</v>
      </c>
      <c r="E68" s="13">
        <f>D68-'[5]20-21 MOU'!$C$65</f>
        <v>222470.06758557714</v>
      </c>
      <c r="P68" s="6">
        <f t="shared" ref="P68:P70" si="27">R9+R28+C49</f>
        <v>14241.2</v>
      </c>
    </row>
    <row r="69" spans="2:16" x14ac:dyDescent="0.25">
      <c r="D69" s="13">
        <f t="shared" si="26"/>
        <v>244272.30476215979</v>
      </c>
      <c r="E69" s="13">
        <f>D69-'[5]20-21 MOU'!$D$65</f>
        <v>231310.81129607392</v>
      </c>
      <c r="P69" s="6">
        <f t="shared" si="27"/>
        <v>14703.760000000002</v>
      </c>
    </row>
    <row r="70" spans="2:16" x14ac:dyDescent="0.25">
      <c r="D70" s="13">
        <f>D21+D40+D61</f>
        <v>749894.34994601388</v>
      </c>
      <c r="E70" s="13">
        <f>D70-'[5]20-21 MOU'!$E$65</f>
        <v>732424.72156763554</v>
      </c>
      <c r="P70" s="6">
        <f t="shared" si="27"/>
        <v>38411.56</v>
      </c>
    </row>
    <row r="71" spans="2:16" x14ac:dyDescent="0.25">
      <c r="P71" s="96">
        <f>R12+R31+C52</f>
        <v>138959.28</v>
      </c>
    </row>
    <row r="72" spans="2:16" ht="13.8" thickBot="1" x14ac:dyDescent="0.3">
      <c r="P72" s="34">
        <f>SUM(P67:P71)</f>
        <v>231598.8</v>
      </c>
    </row>
    <row r="73" spans="2:16" ht="13.8" thickTop="1" x14ac:dyDescent="0.25"/>
  </sheetData>
  <mergeCells count="1">
    <mergeCell ref="P1:Q1"/>
  </mergeCells>
  <pageMargins left="0.75" right="0.75" top="1" bottom="1" header="0.5" footer="0.5"/>
  <pageSetup scale="61" orientation="portrait" horizontalDpi="300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91"/>
  <sheetViews>
    <sheetView topLeftCell="A4" workbookViewId="0">
      <selection activeCell="C18" sqref="C18"/>
    </sheetView>
  </sheetViews>
  <sheetFormatPr defaultColWidth="9.109375" defaultRowHeight="14.4" x14ac:dyDescent="0.3"/>
  <cols>
    <col min="1" max="1" width="10" style="123" bestFit="1" customWidth="1"/>
    <col min="2" max="2" width="9.88671875" style="123" bestFit="1" customWidth="1"/>
    <col min="3" max="3" width="11.5546875" style="123" bestFit="1" customWidth="1"/>
    <col min="4" max="4" width="9.109375" style="123" customWidth="1"/>
    <col min="5" max="5" width="11" style="123" customWidth="1"/>
    <col min="6" max="6" width="12.5546875" style="123" bestFit="1" customWidth="1"/>
    <col min="7" max="7" width="10" style="123" bestFit="1" customWidth="1"/>
    <col min="8" max="8" width="8.109375" style="123" bestFit="1" customWidth="1"/>
    <col min="9" max="9" width="10.33203125" style="123" customWidth="1"/>
    <col min="10" max="11" width="10" style="123" bestFit="1" customWidth="1"/>
    <col min="12" max="12" width="9.109375" style="123"/>
    <col min="13" max="13" width="10.109375" style="123" bestFit="1" customWidth="1"/>
    <col min="14" max="16384" width="9.109375" style="123"/>
  </cols>
  <sheetData>
    <row r="1" spans="1:11" x14ac:dyDescent="0.3">
      <c r="A1" s="177" t="s">
        <v>114</v>
      </c>
      <c r="B1" s="177"/>
      <c r="C1" s="177"/>
      <c r="D1" s="177"/>
      <c r="E1" s="177"/>
      <c r="F1" s="177"/>
      <c r="G1" s="177"/>
      <c r="H1" s="177"/>
      <c r="I1" s="177"/>
      <c r="J1" s="177"/>
      <c r="K1" s="178" t="s">
        <v>115</v>
      </c>
    </row>
    <row r="2" spans="1:11" x14ac:dyDescent="0.3">
      <c r="A2" s="177"/>
      <c r="B2" s="177"/>
      <c r="C2" s="177"/>
      <c r="D2" s="177"/>
      <c r="E2" s="177"/>
      <c r="F2" s="177"/>
      <c r="G2" s="177"/>
      <c r="H2" s="177"/>
      <c r="I2" s="177"/>
      <c r="J2" s="177"/>
      <c r="K2" s="178"/>
    </row>
    <row r="3" spans="1:11" x14ac:dyDescent="0.3">
      <c r="A3" s="123" t="s">
        <v>116</v>
      </c>
      <c r="B3" s="123" t="s">
        <v>117</v>
      </c>
    </row>
    <row r="4" spans="1:11" ht="18" x14ac:dyDescent="0.35">
      <c r="B4" s="174" t="s">
        <v>63</v>
      </c>
      <c r="C4" s="174"/>
      <c r="D4" s="175" t="s">
        <v>64</v>
      </c>
      <c r="E4" s="175"/>
      <c r="F4" s="175"/>
      <c r="G4" s="175"/>
      <c r="H4" s="176" t="s">
        <v>62</v>
      </c>
      <c r="I4" s="176"/>
      <c r="J4" s="176"/>
      <c r="K4" s="176"/>
    </row>
    <row r="5" spans="1:11" x14ac:dyDescent="0.3">
      <c r="A5" s="124" t="s">
        <v>2</v>
      </c>
      <c r="B5" s="125" t="s">
        <v>118</v>
      </c>
      <c r="C5" s="125" t="s">
        <v>119</v>
      </c>
      <c r="D5" s="125" t="s">
        <v>120</v>
      </c>
      <c r="E5" s="125" t="s">
        <v>121</v>
      </c>
      <c r="F5" s="125" t="s">
        <v>122</v>
      </c>
      <c r="G5" s="125" t="s">
        <v>123</v>
      </c>
      <c r="H5" s="125" t="s">
        <v>124</v>
      </c>
      <c r="I5" s="125" t="s">
        <v>125</v>
      </c>
      <c r="J5" s="125" t="s">
        <v>126</v>
      </c>
      <c r="K5" s="125" t="s">
        <v>127</v>
      </c>
    </row>
    <row r="6" spans="1:11" x14ac:dyDescent="0.3">
      <c r="A6" s="126" t="s">
        <v>128</v>
      </c>
      <c r="B6" s="127">
        <v>0.574444778652205</v>
      </c>
      <c r="C6" s="128">
        <v>639785</v>
      </c>
      <c r="D6" s="127">
        <v>0.47610562787671068</v>
      </c>
      <c r="E6" s="128">
        <v>419241</v>
      </c>
      <c r="F6" s="129">
        <v>69990</v>
      </c>
      <c r="G6" s="128">
        <v>349251</v>
      </c>
      <c r="H6" s="127">
        <v>0.34334752825027715</v>
      </c>
      <c r="I6" s="128">
        <v>31449</v>
      </c>
      <c r="J6" s="129">
        <v>140770</v>
      </c>
      <c r="K6" s="128">
        <v>172219</v>
      </c>
    </row>
    <row r="7" spans="1:11" x14ac:dyDescent="0.3">
      <c r="A7" s="130" t="s">
        <v>129</v>
      </c>
      <c r="B7" s="131">
        <v>0.24572231525169586</v>
      </c>
      <c r="C7" s="132">
        <v>273672</v>
      </c>
      <c r="D7" s="131">
        <v>0.29911431663606125</v>
      </c>
      <c r="E7" s="132">
        <v>263389</v>
      </c>
      <c r="F7" s="133">
        <v>43971</v>
      </c>
      <c r="G7" s="132">
        <v>219418</v>
      </c>
      <c r="H7" s="131">
        <v>0.4523014904662791</v>
      </c>
      <c r="I7" s="132">
        <v>41428</v>
      </c>
      <c r="J7" s="133">
        <v>185441</v>
      </c>
      <c r="K7" s="132">
        <v>226869</v>
      </c>
    </row>
    <row r="8" spans="1:11" ht="15" thickBot="1" x14ac:dyDescent="0.35">
      <c r="A8" s="126" t="s">
        <v>130</v>
      </c>
      <c r="B8" s="127">
        <v>0.1798329060960992</v>
      </c>
      <c r="C8" s="128">
        <v>200288</v>
      </c>
      <c r="D8" s="127">
        <v>0.22478005548722807</v>
      </c>
      <c r="E8" s="128">
        <v>197933</v>
      </c>
      <c r="F8" s="129">
        <v>33044</v>
      </c>
      <c r="G8" s="128">
        <v>164889</v>
      </c>
      <c r="H8" s="127">
        <v>0.20435098128344378</v>
      </c>
      <c r="I8" s="128">
        <v>18717</v>
      </c>
      <c r="J8" s="129">
        <v>83783</v>
      </c>
      <c r="K8" s="128">
        <v>102500</v>
      </c>
    </row>
    <row r="9" spans="1:11" ht="15" thickTop="1" x14ac:dyDescent="0.3">
      <c r="A9" s="134" t="s">
        <v>73</v>
      </c>
      <c r="B9" s="135">
        <v>1</v>
      </c>
      <c r="C9" s="136">
        <v>1113745</v>
      </c>
      <c r="D9" s="135">
        <v>1</v>
      </c>
      <c r="E9" s="136">
        <v>880563</v>
      </c>
      <c r="F9" s="137">
        <v>147005</v>
      </c>
      <c r="G9" s="136">
        <v>733558</v>
      </c>
      <c r="H9" s="135">
        <v>1</v>
      </c>
      <c r="I9" s="136">
        <v>91594</v>
      </c>
      <c r="J9" s="137">
        <v>409994</v>
      </c>
      <c r="K9" s="136">
        <v>501588</v>
      </c>
    </row>
    <row r="11" spans="1:11" x14ac:dyDescent="0.3">
      <c r="A11" s="123" t="s">
        <v>116</v>
      </c>
      <c r="B11" s="123" t="s">
        <v>131</v>
      </c>
    </row>
    <row r="12" spans="1:11" ht="18" x14ac:dyDescent="0.35">
      <c r="B12" s="174" t="s">
        <v>63</v>
      </c>
      <c r="C12" s="174"/>
      <c r="D12" s="175" t="s">
        <v>64</v>
      </c>
      <c r="E12" s="175"/>
      <c r="F12" s="175"/>
      <c r="G12" s="175"/>
      <c r="H12" s="176" t="s">
        <v>62</v>
      </c>
      <c r="I12" s="176"/>
      <c r="J12" s="176"/>
      <c r="K12" s="176"/>
    </row>
    <row r="13" spans="1:11" x14ac:dyDescent="0.3">
      <c r="A13" s="124" t="s">
        <v>2</v>
      </c>
      <c r="B13" s="125" t="s">
        <v>118</v>
      </c>
      <c r="C13" s="125" t="s">
        <v>119</v>
      </c>
      <c r="D13" s="125" t="s">
        <v>120</v>
      </c>
      <c r="E13" s="125" t="s">
        <v>121</v>
      </c>
      <c r="F13" s="125" t="s">
        <v>122</v>
      </c>
      <c r="G13" s="125" t="s">
        <v>123</v>
      </c>
      <c r="H13" s="125" t="s">
        <v>124</v>
      </c>
      <c r="I13" s="125" t="s">
        <v>125</v>
      </c>
      <c r="J13" s="125" t="s">
        <v>126</v>
      </c>
      <c r="K13" s="125" t="s">
        <v>127</v>
      </c>
    </row>
    <row r="14" spans="1:11" x14ac:dyDescent="0.3">
      <c r="A14" s="126" t="s">
        <v>7</v>
      </c>
      <c r="B14" s="127">
        <v>0.23752941749498968</v>
      </c>
      <c r="C14" s="128">
        <v>199943</v>
      </c>
      <c r="D14" s="127">
        <v>0.23554426241942528</v>
      </c>
      <c r="E14" s="128">
        <v>192536</v>
      </c>
      <c r="F14" s="129">
        <v>32143</v>
      </c>
      <c r="G14" s="128">
        <v>160393</v>
      </c>
      <c r="H14" s="127">
        <v>0.36478293834821823</v>
      </c>
      <c r="I14" s="128">
        <v>43753</v>
      </c>
      <c r="J14" s="129">
        <v>195843</v>
      </c>
      <c r="K14" s="128">
        <v>239596</v>
      </c>
    </row>
    <row r="15" spans="1:11" x14ac:dyDescent="0.3">
      <c r="A15" s="130" t="s">
        <v>8</v>
      </c>
      <c r="B15" s="131">
        <v>0.15677490404045805</v>
      </c>
      <c r="C15" s="132">
        <v>131967</v>
      </c>
      <c r="D15" s="131">
        <v>0.15542892236322331</v>
      </c>
      <c r="E15" s="132">
        <v>127049</v>
      </c>
      <c r="F15" s="133">
        <v>21210</v>
      </c>
      <c r="G15" s="132">
        <v>105839</v>
      </c>
      <c r="H15" s="131">
        <v>0.14770301666519492</v>
      </c>
      <c r="I15" s="132">
        <v>17716</v>
      </c>
      <c r="J15" s="133">
        <v>79298</v>
      </c>
      <c r="K15" s="132">
        <v>97014</v>
      </c>
    </row>
    <row r="16" spans="1:11" x14ac:dyDescent="0.3">
      <c r="A16" s="126" t="s">
        <v>9</v>
      </c>
      <c r="B16" s="127">
        <v>0.14907913291302399</v>
      </c>
      <c r="C16" s="128">
        <v>125489</v>
      </c>
      <c r="D16" s="127">
        <v>0.16124363690637122</v>
      </c>
      <c r="E16" s="128">
        <v>131802</v>
      </c>
      <c r="F16" s="129">
        <v>22004</v>
      </c>
      <c r="G16" s="128">
        <v>109798</v>
      </c>
      <c r="H16" s="127">
        <v>0.16793540980910998</v>
      </c>
      <c r="I16" s="128">
        <v>20142</v>
      </c>
      <c r="J16" s="129">
        <v>90161</v>
      </c>
      <c r="K16" s="128">
        <v>110303</v>
      </c>
    </row>
    <row r="17" spans="1:11" ht="15" thickBot="1" x14ac:dyDescent="0.35">
      <c r="A17" s="130" t="s">
        <v>10</v>
      </c>
      <c r="B17" s="131">
        <v>0.45661654555152831</v>
      </c>
      <c r="C17" s="132">
        <v>384362</v>
      </c>
      <c r="D17" s="131">
        <v>0.44778317831098019</v>
      </c>
      <c r="E17" s="132">
        <v>366022</v>
      </c>
      <c r="F17" s="133">
        <v>61105</v>
      </c>
      <c r="G17" s="132">
        <v>304917</v>
      </c>
      <c r="H17" s="131">
        <v>0.31957863517747687</v>
      </c>
      <c r="I17" s="132">
        <v>38331</v>
      </c>
      <c r="J17" s="133">
        <v>171574</v>
      </c>
      <c r="K17" s="132">
        <v>209905</v>
      </c>
    </row>
    <row r="18" spans="1:11" ht="15" thickTop="1" x14ac:dyDescent="0.3">
      <c r="A18" s="138" t="s">
        <v>73</v>
      </c>
      <c r="B18" s="139">
        <v>1</v>
      </c>
      <c r="C18" s="140">
        <v>841761</v>
      </c>
      <c r="D18" s="139">
        <v>1</v>
      </c>
      <c r="E18" s="140">
        <v>817409</v>
      </c>
      <c r="F18" s="141">
        <v>136462</v>
      </c>
      <c r="G18" s="142">
        <v>680947</v>
      </c>
      <c r="H18" s="139">
        <v>1</v>
      </c>
      <c r="I18" s="142">
        <v>119942</v>
      </c>
      <c r="J18" s="141">
        <v>536876</v>
      </c>
      <c r="K18" s="140">
        <v>656818</v>
      </c>
    </row>
    <row r="19" spans="1:11" x14ac:dyDescent="0.3">
      <c r="F19" s="143">
        <f>F18*0.1</f>
        <v>13646.2</v>
      </c>
      <c r="G19" s="144">
        <f>G18+F18</f>
        <v>817409</v>
      </c>
    </row>
    <row r="20" spans="1:11" x14ac:dyDescent="0.3">
      <c r="A20" s="123" t="s">
        <v>116</v>
      </c>
      <c r="B20" s="123" t="s">
        <v>132</v>
      </c>
      <c r="F20" s="143">
        <f>F18-F19</f>
        <v>122815.8</v>
      </c>
    </row>
    <row r="21" spans="1:11" ht="18" x14ac:dyDescent="0.35">
      <c r="B21" s="174" t="s">
        <v>63</v>
      </c>
      <c r="C21" s="174"/>
      <c r="D21" s="175" t="s">
        <v>64</v>
      </c>
      <c r="E21" s="175"/>
      <c r="F21" s="175"/>
      <c r="G21" s="175"/>
      <c r="H21" s="176" t="s">
        <v>62</v>
      </c>
      <c r="I21" s="176"/>
      <c r="J21" s="176"/>
      <c r="K21" s="176"/>
    </row>
    <row r="22" spans="1:11" x14ac:dyDescent="0.3">
      <c r="A22" s="124" t="s">
        <v>2</v>
      </c>
      <c r="B22" s="125" t="s">
        <v>118</v>
      </c>
      <c r="C22" s="125" t="s">
        <v>119</v>
      </c>
      <c r="D22" s="125" t="s">
        <v>120</v>
      </c>
      <c r="E22" s="125" t="s">
        <v>121</v>
      </c>
      <c r="F22" s="125" t="s">
        <v>122</v>
      </c>
      <c r="G22" s="125" t="s">
        <v>123</v>
      </c>
      <c r="H22" s="125" t="s">
        <v>124</v>
      </c>
      <c r="I22" s="125" t="s">
        <v>125</v>
      </c>
      <c r="J22" s="125" t="s">
        <v>126</v>
      </c>
      <c r="K22" s="125" t="s">
        <v>127</v>
      </c>
    </row>
    <row r="23" spans="1:11" x14ac:dyDescent="0.3">
      <c r="A23" s="126" t="s">
        <v>55</v>
      </c>
      <c r="B23" s="127">
        <v>0.31090283810530273</v>
      </c>
      <c r="C23" s="128">
        <v>347151</v>
      </c>
      <c r="D23" s="127">
        <v>0.32584387519818209</v>
      </c>
      <c r="E23" s="128">
        <v>351029</v>
      </c>
      <c r="F23" s="129">
        <v>58602</v>
      </c>
      <c r="G23" s="128">
        <v>292427</v>
      </c>
      <c r="H23" s="127">
        <v>0.32012143610702021</v>
      </c>
      <c r="I23" s="128">
        <v>43941</v>
      </c>
      <c r="J23" s="129">
        <v>196685</v>
      </c>
      <c r="K23" s="128">
        <v>240626</v>
      </c>
    </row>
    <row r="24" spans="1:11" x14ac:dyDescent="0.3">
      <c r="A24" s="130" t="s">
        <v>54</v>
      </c>
      <c r="B24" s="131">
        <v>0.11072282574624527</v>
      </c>
      <c r="C24" s="132">
        <v>123632</v>
      </c>
      <c r="D24" s="131">
        <v>0.1039848063477683</v>
      </c>
      <c r="E24" s="132">
        <v>112022</v>
      </c>
      <c r="F24" s="133">
        <v>18701</v>
      </c>
      <c r="G24" s="132">
        <v>93321</v>
      </c>
      <c r="H24" s="131">
        <v>0.10748585484873036</v>
      </c>
      <c r="I24" s="132">
        <v>14754</v>
      </c>
      <c r="J24" s="133">
        <v>66040</v>
      </c>
      <c r="K24" s="132">
        <v>80794</v>
      </c>
    </row>
    <row r="25" spans="1:11" x14ac:dyDescent="0.3">
      <c r="A25" s="126" t="s">
        <v>53</v>
      </c>
      <c r="B25" s="127">
        <v>5.7516187678557033E-2</v>
      </c>
      <c r="C25" s="128">
        <v>64222</v>
      </c>
      <c r="D25" s="127">
        <v>5.9285690416340228E-2</v>
      </c>
      <c r="E25" s="128">
        <v>63868</v>
      </c>
      <c r="F25" s="129">
        <v>10662</v>
      </c>
      <c r="G25" s="128">
        <v>53206</v>
      </c>
      <c r="H25" s="127">
        <v>6.4795635324497017E-2</v>
      </c>
      <c r="I25" s="128">
        <v>8894</v>
      </c>
      <c r="J25" s="129">
        <v>39811</v>
      </c>
      <c r="K25" s="128">
        <v>48705</v>
      </c>
    </row>
    <row r="26" spans="1:11" ht="15" thickBot="1" x14ac:dyDescent="0.35">
      <c r="A26" s="130" t="s">
        <v>52</v>
      </c>
      <c r="B26" s="131">
        <v>0.52085814846989498</v>
      </c>
      <c r="C26" s="132">
        <v>581585</v>
      </c>
      <c r="D26" s="131">
        <v>0.51088562803770932</v>
      </c>
      <c r="E26" s="132">
        <v>550373</v>
      </c>
      <c r="F26" s="133">
        <v>91881</v>
      </c>
      <c r="G26" s="132">
        <v>458492</v>
      </c>
      <c r="H26" s="131">
        <v>0.50759707371975238</v>
      </c>
      <c r="I26" s="132">
        <v>69674</v>
      </c>
      <c r="J26" s="133">
        <v>311872</v>
      </c>
      <c r="K26" s="132">
        <v>381546</v>
      </c>
    </row>
    <row r="27" spans="1:11" ht="15" thickTop="1" x14ac:dyDescent="0.3">
      <c r="A27" s="138" t="s">
        <v>73</v>
      </c>
      <c r="B27" s="139">
        <v>1</v>
      </c>
      <c r="C27" s="142">
        <v>1116590</v>
      </c>
      <c r="D27" s="139">
        <v>1</v>
      </c>
      <c r="E27" s="142">
        <v>1077292</v>
      </c>
      <c r="F27" s="141">
        <v>179846</v>
      </c>
      <c r="G27" s="142">
        <v>897446</v>
      </c>
      <c r="H27" s="139">
        <v>1</v>
      </c>
      <c r="I27" s="142">
        <v>137263</v>
      </c>
      <c r="J27" s="141">
        <v>614408</v>
      </c>
      <c r="K27" s="142">
        <v>751671</v>
      </c>
    </row>
    <row r="91" spans="13:13" x14ac:dyDescent="0.3">
      <c r="M91" s="145"/>
    </row>
  </sheetData>
  <mergeCells count="11">
    <mergeCell ref="B21:C21"/>
    <mergeCell ref="D21:G21"/>
    <mergeCell ref="H21:K21"/>
    <mergeCell ref="A1:J2"/>
    <mergeCell ref="K1:K2"/>
    <mergeCell ref="B4:C4"/>
    <mergeCell ref="D4:G4"/>
    <mergeCell ref="H4:K4"/>
    <mergeCell ref="B12:C12"/>
    <mergeCell ref="D12:G12"/>
    <mergeCell ref="H12:K12"/>
  </mergeCells>
  <pageMargins left="0.7" right="0.7" top="0.75" bottom="0.75" header="0.3" footer="0.3"/>
  <pageSetup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Z72"/>
  <sheetViews>
    <sheetView topLeftCell="J5" zoomScaleNormal="100" workbookViewId="0">
      <pane xSplit="1" ySplit="3" topLeftCell="K8" activePane="bottomRight" state="frozen"/>
      <selection activeCell="J7" sqref="J7"/>
      <selection pane="topRight" activeCell="K7" sqref="K7"/>
      <selection pane="bottomLeft" activeCell="J8" sqref="J8"/>
      <selection pane="bottomRight" activeCell="K10" sqref="K10"/>
    </sheetView>
  </sheetViews>
  <sheetFormatPr defaultColWidth="9.109375" defaultRowHeight="13.2" x14ac:dyDescent="0.25"/>
  <cols>
    <col min="1" max="1" width="16.44140625" hidden="1" customWidth="1"/>
    <col min="2" max="2" width="22.5546875" hidden="1" customWidth="1"/>
    <col min="3" max="3" width="7.33203125" hidden="1" customWidth="1"/>
    <col min="4" max="4" width="15.44140625" hidden="1" customWidth="1"/>
    <col min="5" max="5" width="16.44140625" style="6" hidden="1" customWidth="1"/>
    <col min="6" max="6" width="15.33203125" style="6" hidden="1" customWidth="1"/>
    <col min="7" max="7" width="10.109375" hidden="1" customWidth="1"/>
    <col min="8" max="9" width="0" hidden="1" customWidth="1"/>
    <col min="10" max="10" width="15.6640625" customWidth="1"/>
    <col min="11" max="11" width="16.33203125" customWidth="1"/>
    <col min="12" max="12" width="11.33203125" customWidth="1"/>
    <col min="13" max="13" width="10.5546875" customWidth="1"/>
    <col min="14" max="14" width="11.109375" customWidth="1"/>
    <col min="16" max="16" width="9.88671875" customWidth="1"/>
    <col min="17" max="17" width="10.109375" customWidth="1"/>
    <col min="18" max="20" width="10.5546875" hidden="1" customWidth="1"/>
    <col min="21" max="21" width="11" hidden="1" customWidth="1"/>
    <col min="23" max="23" width="14.44140625" customWidth="1"/>
    <col min="24" max="24" width="11.5546875" style="101" customWidth="1"/>
    <col min="25" max="25" width="14.109375" customWidth="1"/>
    <col min="26" max="26" width="17.44140625" bestFit="1" customWidth="1"/>
  </cols>
  <sheetData>
    <row r="1" spans="1:25" s="7" customFormat="1" ht="21.6" thickBot="1" x14ac:dyDescent="0.45">
      <c r="D1" s="20" t="s">
        <v>13</v>
      </c>
      <c r="J1" s="15" t="s">
        <v>39</v>
      </c>
      <c r="T1" s="173">
        <f ca="1">NOW()</f>
        <v>44884.557374074073</v>
      </c>
      <c r="U1" s="173"/>
      <c r="X1" s="100"/>
    </row>
    <row r="2" spans="1:25" s="7" customFormat="1" ht="15.6" x14ac:dyDescent="0.3">
      <c r="J2" s="7" t="s">
        <v>97</v>
      </c>
      <c r="N2" s="19"/>
      <c r="X2" s="100"/>
    </row>
    <row r="3" spans="1:25" s="7" customFormat="1" ht="15.6" x14ac:dyDescent="0.3">
      <c r="X3" s="100"/>
    </row>
    <row r="4" spans="1:25" s="7" customFormat="1" ht="15.6" x14ac:dyDescent="0.3">
      <c r="D4" s="41" t="s">
        <v>48</v>
      </c>
      <c r="F4" s="40"/>
      <c r="X4" s="100"/>
    </row>
    <row r="5" spans="1:25" s="7" customFormat="1" ht="15.6" x14ac:dyDescent="0.3">
      <c r="E5" s="40" t="s">
        <v>49</v>
      </c>
      <c r="K5" s="7" t="s">
        <v>101</v>
      </c>
      <c r="P5" s="7" t="s">
        <v>103</v>
      </c>
      <c r="W5" s="7" t="s">
        <v>102</v>
      </c>
      <c r="X5" s="100"/>
    </row>
    <row r="6" spans="1:25" ht="13.8" thickBot="1" x14ac:dyDescent="0.3">
      <c r="A6" t="str">
        <f>D13</f>
        <v xml:space="preserve">Adult Adm </v>
      </c>
      <c r="D6" s="22" t="str">
        <f>D13</f>
        <v xml:space="preserve">Adult Adm </v>
      </c>
      <c r="J6" s="23" t="s">
        <v>68</v>
      </c>
    </row>
    <row r="7" spans="1:25" ht="39" customHeight="1" thickBot="1" x14ac:dyDescent="0.35">
      <c r="A7" s="1" t="s">
        <v>0</v>
      </c>
      <c r="B7" s="1" t="s">
        <v>1</v>
      </c>
      <c r="C7" s="1" t="s">
        <v>2</v>
      </c>
      <c r="D7" s="1" t="s">
        <v>3</v>
      </c>
      <c r="E7" s="4" t="s">
        <v>12</v>
      </c>
      <c r="F7" s="27" t="s">
        <v>22</v>
      </c>
      <c r="J7" s="18" t="s">
        <v>3</v>
      </c>
      <c r="K7" s="54" t="s">
        <v>19</v>
      </c>
      <c r="L7" s="43" t="s">
        <v>99</v>
      </c>
      <c r="M7" s="24" t="s">
        <v>24</v>
      </c>
      <c r="N7" s="24" t="s">
        <v>23</v>
      </c>
      <c r="P7" s="43" t="s">
        <v>40</v>
      </c>
      <c r="Q7" s="43" t="s">
        <v>38</v>
      </c>
      <c r="R7" s="43" t="s">
        <v>37</v>
      </c>
      <c r="S7" s="42" t="s">
        <v>31</v>
      </c>
      <c r="T7" s="42" t="s">
        <v>34</v>
      </c>
      <c r="U7" s="42" t="s">
        <v>35</v>
      </c>
      <c r="W7" s="37" t="s">
        <v>92</v>
      </c>
      <c r="X7" s="102" t="s">
        <v>98</v>
      </c>
      <c r="Y7" s="35" t="s">
        <v>87</v>
      </c>
    </row>
    <row r="8" spans="1:25" ht="12.75" customHeight="1" x14ac:dyDescent="0.25">
      <c r="A8" s="2" t="s">
        <v>5</v>
      </c>
      <c r="B8" s="2" t="s">
        <v>6</v>
      </c>
      <c r="C8" s="2">
        <v>56</v>
      </c>
      <c r="D8" s="2" t="s">
        <v>7</v>
      </c>
      <c r="E8" s="5">
        <f>'Sara Ballard eml 6-5-18'!G5*0.04</f>
        <v>3779.9924565869383</v>
      </c>
      <c r="F8" s="17">
        <f t="shared" ref="F8:F13" si="0">E8/E$13</f>
        <v>7.5087102551042673E-2</v>
      </c>
      <c r="J8" s="2" t="s">
        <v>7</v>
      </c>
      <c r="K8" s="55">
        <f>W8+X8</f>
        <v>4812.8006768596715</v>
      </c>
      <c r="L8" s="45">
        <v>3779.9924565869383</v>
      </c>
      <c r="M8" s="8">
        <f t="shared" ref="M8:M13" si="1">K8-L8</f>
        <v>1032.8082202727333</v>
      </c>
      <c r="N8" s="9">
        <f t="shared" ref="N8:N13" si="2">-1+(K8/L8)</f>
        <v>0.27323023316434991</v>
      </c>
      <c r="P8" s="45">
        <v>4096.2880000000005</v>
      </c>
      <c r="Q8" s="45">
        <v>2727.15</v>
      </c>
      <c r="R8" s="45">
        <v>2179.92</v>
      </c>
      <c r="S8" s="8">
        <v>1475.6759999999999</v>
      </c>
      <c r="T8" s="8">
        <v>1290.7760000000001</v>
      </c>
      <c r="U8" s="25">
        <v>1695</v>
      </c>
      <c r="W8" s="32">
        <f>'Scott 5-29-19'!H7*0.04</f>
        <v>762.04895467294682</v>
      </c>
      <c r="X8" s="32">
        <f>'Scott 5-29-19'!I7*0.04</f>
        <v>4050.7517221867242</v>
      </c>
      <c r="Y8" s="32">
        <f>W8+X8</f>
        <v>4812.8006768596715</v>
      </c>
    </row>
    <row r="9" spans="1:25" ht="12.75" customHeight="1" x14ac:dyDescent="0.25">
      <c r="A9" s="2" t="s">
        <v>5</v>
      </c>
      <c r="B9" s="2" t="s">
        <v>6</v>
      </c>
      <c r="C9" s="2">
        <v>58</v>
      </c>
      <c r="D9" s="2" t="s">
        <v>8</v>
      </c>
      <c r="E9" s="5">
        <f>'Sara Ballard eml 6-5-18'!G6*0.04</f>
        <v>3149.895909943019</v>
      </c>
      <c r="F9" s="17">
        <f t="shared" si="0"/>
        <v>6.2570642648466776E-2</v>
      </c>
      <c r="J9" s="2" t="s">
        <v>8</v>
      </c>
      <c r="K9" s="55">
        <f t="shared" ref="K9:K12" si="3">W9+X9</f>
        <v>3820.5404867807806</v>
      </c>
      <c r="L9" s="45">
        <v>3149.895909943019</v>
      </c>
      <c r="M9" s="8">
        <f t="shared" si="1"/>
        <v>670.64457683776163</v>
      </c>
      <c r="N9" s="9">
        <f t="shared" si="2"/>
        <v>0.21291007576497778</v>
      </c>
      <c r="P9" s="45">
        <v>3044.8360000000002</v>
      </c>
      <c r="Q9" s="45">
        <v>2041.86</v>
      </c>
      <c r="R9" s="45">
        <v>1930.124</v>
      </c>
      <c r="S9" s="8">
        <v>1748.856</v>
      </c>
      <c r="T9" s="8">
        <v>1662.6520000000003</v>
      </c>
      <c r="U9" s="25">
        <v>1972</v>
      </c>
      <c r="W9" s="32">
        <f>'Scott 5-29-19'!H8*0.04</f>
        <v>604.93651819727245</v>
      </c>
      <c r="X9" s="32">
        <f>'Scott 5-29-19'!I8*0.04</f>
        <v>3215.603968583508</v>
      </c>
      <c r="Y9" s="32">
        <f t="shared" ref="Y9:Y12" si="4">W9+X9</f>
        <v>3820.5404867807806</v>
      </c>
    </row>
    <row r="10" spans="1:25" ht="12.75" customHeight="1" x14ac:dyDescent="0.25">
      <c r="A10" s="2" t="s">
        <v>5</v>
      </c>
      <c r="B10" s="2" t="s">
        <v>6</v>
      </c>
      <c r="C10" s="2">
        <v>61</v>
      </c>
      <c r="D10" s="2" t="s">
        <v>9</v>
      </c>
      <c r="E10" s="5">
        <f>'Sara Ballard eml 6-5-18'!G7*0.04</f>
        <v>2943.5529483525506</v>
      </c>
      <c r="F10" s="17">
        <f t="shared" si="0"/>
        <v>5.8471773326484303E-2</v>
      </c>
      <c r="J10" s="2" t="s">
        <v>9</v>
      </c>
      <c r="K10" s="55">
        <f t="shared" si="3"/>
        <v>3717.9789092758988</v>
      </c>
      <c r="L10" s="45">
        <v>2943.5529483525506</v>
      </c>
      <c r="M10" s="8">
        <f t="shared" si="1"/>
        <v>774.42596092334816</v>
      </c>
      <c r="N10" s="9">
        <f t="shared" si="2"/>
        <v>0.26309224753601912</v>
      </c>
      <c r="P10" s="45">
        <v>2774.6560000000004</v>
      </c>
      <c r="Q10" s="45">
        <v>1894.69</v>
      </c>
      <c r="R10" s="45">
        <v>1853.5120000000002</v>
      </c>
      <c r="S10" s="8">
        <v>1825.048</v>
      </c>
      <c r="T10" s="8">
        <v>1863.7840000000001</v>
      </c>
      <c r="U10" s="25">
        <v>1893</v>
      </c>
      <c r="W10" s="32">
        <f>'Scott 5-29-19'!H9*0.04</f>
        <v>588.69712908170231</v>
      </c>
      <c r="X10" s="32">
        <f>'Scott 5-29-19'!I9*0.04</f>
        <v>3129.2817801941965</v>
      </c>
      <c r="Y10" s="32">
        <f t="shared" si="4"/>
        <v>3717.9789092758988</v>
      </c>
    </row>
    <row r="11" spans="1:25" ht="12.75" customHeight="1" x14ac:dyDescent="0.25">
      <c r="A11" s="2" t="s">
        <v>5</v>
      </c>
      <c r="B11" s="2" t="s">
        <v>6</v>
      </c>
      <c r="C11" s="2">
        <v>84</v>
      </c>
      <c r="D11" s="2" t="s">
        <v>10</v>
      </c>
      <c r="E11" s="5">
        <f>'Sara Ballard eml 6-5-18'!G8*0.04</f>
        <v>10263.132494274008</v>
      </c>
      <c r="F11" s="17">
        <f t="shared" si="0"/>
        <v>0.2038704814740063</v>
      </c>
      <c r="J11" s="2" t="s">
        <v>10</v>
      </c>
      <c r="K11" s="55">
        <f t="shared" si="3"/>
        <v>11859.142707399747</v>
      </c>
      <c r="L11" s="45">
        <v>10263.132494274008</v>
      </c>
      <c r="M11" s="8">
        <f t="shared" si="1"/>
        <v>1596.010213125739</v>
      </c>
      <c r="N11" s="9">
        <f t="shared" si="2"/>
        <v>0.15550907230479405</v>
      </c>
      <c r="P11" s="45">
        <v>8599.6200000000008</v>
      </c>
      <c r="Q11" s="45">
        <v>5306.02</v>
      </c>
      <c r="R11" s="45">
        <v>4768.4340000000002</v>
      </c>
      <c r="S11" s="8">
        <v>4603.01</v>
      </c>
      <c r="T11" s="8">
        <v>4897.1880000000001</v>
      </c>
      <c r="U11" s="25">
        <v>5732</v>
      </c>
      <c r="W11" s="32">
        <f>'Scott 5-29-19'!H10*0.04</f>
        <v>1877.7522507722133</v>
      </c>
      <c r="X11" s="32">
        <f>'Scott 5-29-19'!I10*0.04</f>
        <v>9981.3904566275341</v>
      </c>
      <c r="Y11" s="32">
        <f t="shared" si="4"/>
        <v>11859.142707399747</v>
      </c>
    </row>
    <row r="12" spans="1:25" ht="12.75" customHeight="1" thickBot="1" x14ac:dyDescent="0.3">
      <c r="A12" s="3"/>
      <c r="B12" s="3"/>
      <c r="C12" s="3"/>
      <c r="D12" s="2" t="s">
        <v>11</v>
      </c>
      <c r="E12" s="12">
        <f>'Sara Ballard eml 6-5-18'!G9*0.06</f>
        <v>30204.860713734772</v>
      </c>
      <c r="F12" s="17">
        <f t="shared" si="0"/>
        <v>0.6</v>
      </c>
      <c r="J12" s="2" t="s">
        <v>11</v>
      </c>
      <c r="K12" s="55">
        <f t="shared" si="3"/>
        <v>36315.694170474148</v>
      </c>
      <c r="L12" s="45">
        <v>30204.860713734772</v>
      </c>
      <c r="M12" s="8">
        <f t="shared" si="1"/>
        <v>6110.8334567393758</v>
      </c>
      <c r="N12" s="9">
        <f t="shared" si="2"/>
        <v>0.20231291627710291</v>
      </c>
      <c r="P12" s="45">
        <v>27773.599999999999</v>
      </c>
      <c r="Q12" s="45">
        <v>17954.28</v>
      </c>
      <c r="R12" s="45">
        <v>16098</v>
      </c>
      <c r="S12" s="8">
        <v>14480.4</v>
      </c>
      <c r="T12" s="8">
        <v>14571.6</v>
      </c>
      <c r="U12" s="25">
        <v>16938</v>
      </c>
      <c r="W12" s="32">
        <f>'Scott 5-29-19'!H11*0.06</f>
        <v>5750.1522790862018</v>
      </c>
      <c r="X12" s="32">
        <f>'Scott 5-29-19'!I11*0.06</f>
        <v>30565.541891387944</v>
      </c>
      <c r="Y12" s="32">
        <f t="shared" si="4"/>
        <v>36315.694170474148</v>
      </c>
    </row>
    <row r="13" spans="1:25" ht="12.75" customHeight="1" thickBot="1" x14ac:dyDescent="0.3">
      <c r="D13" s="21" t="s">
        <v>15</v>
      </c>
      <c r="E13" s="49">
        <f>SUM(E8:E12)</f>
        <v>50341.434522891286</v>
      </c>
      <c r="F13" s="48">
        <f t="shared" si="0"/>
        <v>1</v>
      </c>
      <c r="K13" s="56">
        <f>SUM(K8:K12)</f>
        <v>60526.156950790246</v>
      </c>
      <c r="L13" s="11">
        <f>SUM(L8:L12)</f>
        <v>50341.434522891286</v>
      </c>
      <c r="M13" s="8">
        <f t="shared" si="1"/>
        <v>10184.72242789896</v>
      </c>
      <c r="N13" s="9">
        <f t="shared" si="2"/>
        <v>0.20231291627710291</v>
      </c>
      <c r="P13" s="45">
        <f t="shared" ref="P13:U13" si="5">SUM(P8:P12)</f>
        <v>46289</v>
      </c>
      <c r="Q13" s="45">
        <f t="shared" si="5"/>
        <v>29924</v>
      </c>
      <c r="R13" s="45">
        <f t="shared" si="5"/>
        <v>26829.99</v>
      </c>
      <c r="S13" s="11">
        <f t="shared" si="5"/>
        <v>24132.989999999998</v>
      </c>
      <c r="T13" s="11">
        <f t="shared" si="5"/>
        <v>24286</v>
      </c>
      <c r="U13" s="26">
        <f t="shared" si="5"/>
        <v>28230</v>
      </c>
      <c r="W13" s="118">
        <f t="shared" ref="W13:X13" si="6">SUM(W8:W12)</f>
        <v>9583.5871318103364</v>
      </c>
      <c r="X13" s="119">
        <f t="shared" si="6"/>
        <v>50942.569818979908</v>
      </c>
      <c r="Y13" s="118">
        <f>SUM(Y8:Y12)</f>
        <v>60526.156950790246</v>
      </c>
    </row>
    <row r="14" spans="1:25" ht="12.75" customHeight="1" x14ac:dyDescent="0.25">
      <c r="D14" s="3"/>
      <c r="K14" s="32"/>
      <c r="M14" s="13"/>
      <c r="N14" s="14"/>
      <c r="S14" s="13"/>
      <c r="T14" s="13"/>
      <c r="W14" s="32"/>
      <c r="X14" s="107"/>
      <c r="Y14" s="32">
        <f>'Scott 5-29-19'!G11*0.1</f>
        <v>60526.156950790253</v>
      </c>
    </row>
    <row r="15" spans="1:25" ht="17.25" customHeight="1" thickBot="1" x14ac:dyDescent="0.35">
      <c r="D15" s="3"/>
      <c r="J15" s="7" t="s">
        <v>16</v>
      </c>
      <c r="K15" s="32"/>
      <c r="W15" s="96"/>
    </row>
    <row r="16" spans="1:25" ht="12.75" hidden="1" customHeight="1" thickBot="1" x14ac:dyDescent="0.3">
      <c r="D16" s="22" t="str">
        <f>D22</f>
        <v xml:space="preserve">Adult </v>
      </c>
      <c r="K16" s="53">
        <f>483473*0.9</f>
        <v>435125.7</v>
      </c>
    </row>
    <row r="17" spans="1:25" ht="42" customHeight="1" thickBot="1" x14ac:dyDescent="0.35">
      <c r="A17" s="1" t="s">
        <v>0</v>
      </c>
      <c r="B17" s="1" t="s">
        <v>1</v>
      </c>
      <c r="C17" s="1" t="s">
        <v>2</v>
      </c>
      <c r="D17" s="1" t="s">
        <v>3</v>
      </c>
      <c r="E17" s="4" t="s">
        <v>12</v>
      </c>
      <c r="F17" s="27" t="s">
        <v>22</v>
      </c>
      <c r="J17" s="18" t="s">
        <v>3</v>
      </c>
      <c r="K17" s="54" t="s">
        <v>19</v>
      </c>
      <c r="L17" s="43" t="str">
        <f>L7</f>
        <v>PY18 &amp; FY19 Actual</v>
      </c>
      <c r="M17" s="24" t="s">
        <v>24</v>
      </c>
      <c r="N17" s="24" t="s">
        <v>23</v>
      </c>
      <c r="P17" s="43" t="str">
        <f>P7</f>
        <v>PY17 &amp; FY18 Actual</v>
      </c>
      <c r="Q17" s="43" t="s">
        <v>38</v>
      </c>
      <c r="R17" s="43" t="s">
        <v>37</v>
      </c>
      <c r="S17" s="42" t="s">
        <v>31</v>
      </c>
      <c r="T17" s="42" t="s">
        <v>34</v>
      </c>
      <c r="U17" s="42" t="s">
        <v>35</v>
      </c>
      <c r="W17" s="37" t="str">
        <f>W7</f>
        <v>PY19</v>
      </c>
      <c r="X17" s="102" t="str">
        <f>X7</f>
        <v>FY20 Actual</v>
      </c>
      <c r="Y17" s="35" t="s">
        <v>87</v>
      </c>
    </row>
    <row r="18" spans="1:25" ht="12.75" customHeight="1" x14ac:dyDescent="0.25">
      <c r="A18" s="2" t="s">
        <v>5</v>
      </c>
      <c r="B18" s="2" t="s">
        <v>6</v>
      </c>
      <c r="C18" s="2">
        <v>56</v>
      </c>
      <c r="D18" s="2" t="s">
        <v>7</v>
      </c>
      <c r="E18" s="5">
        <f>'Sara Ballard eml 6-5-18'!G5*0.9</f>
        <v>85049.830273206113</v>
      </c>
      <c r="F18" s="17">
        <f>E18/E$22</f>
        <v>0.67305608344458423</v>
      </c>
      <c r="J18" s="2" t="s">
        <v>7</v>
      </c>
      <c r="K18" s="55">
        <f t="shared" ref="K18:K21" si="7">W18+X18</f>
        <v>108288.01522934259</v>
      </c>
      <c r="L18" s="45">
        <v>85049.830273206113</v>
      </c>
      <c r="M18" s="8">
        <f t="shared" ref="M18:M23" si="8">K18-L18</f>
        <v>23238.18495613648</v>
      </c>
      <c r="N18" s="9">
        <f>-1+(K18/L18)</f>
        <v>0.27323023316434969</v>
      </c>
      <c r="P18" s="45">
        <v>92168.79</v>
      </c>
      <c r="Q18" s="45">
        <v>61354.85</v>
      </c>
      <c r="R18" s="45">
        <v>49052.160000000003</v>
      </c>
      <c r="S18" s="8">
        <v>33207.19</v>
      </c>
      <c r="T18" s="8">
        <v>29032.03</v>
      </c>
      <c r="U18" s="25">
        <v>38132</v>
      </c>
      <c r="W18" s="32">
        <v>16191.031923081331</v>
      </c>
      <c r="X18" s="32">
        <v>92096.98330626126</v>
      </c>
      <c r="Y18" s="32">
        <f>W18+X18</f>
        <v>108288.01522934259</v>
      </c>
    </row>
    <row r="19" spans="1:25" ht="12.75" customHeight="1" x14ac:dyDescent="0.25">
      <c r="A19" s="2" t="s">
        <v>5</v>
      </c>
      <c r="B19" s="2" t="s">
        <v>6</v>
      </c>
      <c r="C19" s="2">
        <v>58</v>
      </c>
      <c r="D19" s="2" t="s">
        <v>8</v>
      </c>
      <c r="E19" s="5">
        <v>8724.1299999999992</v>
      </c>
      <c r="F19" s="17">
        <f>E19/E$22</f>
        <v>6.9039864634641679E-2</v>
      </c>
      <c r="J19" s="2" t="s">
        <v>8</v>
      </c>
      <c r="K19" s="55">
        <f t="shared" si="7"/>
        <v>85962.160952567559</v>
      </c>
      <c r="L19" s="45">
        <v>70872.657973717927</v>
      </c>
      <c r="M19" s="8">
        <f t="shared" si="8"/>
        <v>15089.502978849632</v>
      </c>
      <c r="N19" s="9">
        <f>-1+(K19/L19)</f>
        <v>0.21291007576497756</v>
      </c>
      <c r="P19" s="45">
        <v>68509.820000000007</v>
      </c>
      <c r="Q19" s="45">
        <v>45941.429999999993</v>
      </c>
      <c r="R19" s="45">
        <v>43418.810000000005</v>
      </c>
      <c r="S19" s="8">
        <v>39345.279999999999</v>
      </c>
      <c r="T19" s="8">
        <v>37399.170000000006</v>
      </c>
      <c r="U19" s="25">
        <v>44379</v>
      </c>
      <c r="W19" s="32">
        <v>13492.107674288889</v>
      </c>
      <c r="X19" s="32">
        <v>72470.053278278676</v>
      </c>
      <c r="Y19" s="32">
        <f t="shared" ref="Y19:Y21" si="9">W19+X19</f>
        <v>85962.160952567559</v>
      </c>
    </row>
    <row r="20" spans="1:25" ht="12.75" customHeight="1" x14ac:dyDescent="0.25">
      <c r="A20" s="2" t="s">
        <v>5</v>
      </c>
      <c r="B20" s="2" t="s">
        <v>6</v>
      </c>
      <c r="C20" s="2">
        <v>61</v>
      </c>
      <c r="D20" s="2" t="s">
        <v>9</v>
      </c>
      <c r="E20" s="5">
        <v>7949.48</v>
      </c>
      <c r="F20" s="17">
        <f>E20/E$22</f>
        <v>6.2909542053567677E-2</v>
      </c>
      <c r="J20" s="2" t="s">
        <v>9</v>
      </c>
      <c r="K20" s="55">
        <f t="shared" si="7"/>
        <v>83654.525458707736</v>
      </c>
      <c r="L20" s="45">
        <v>66229.941337932396</v>
      </c>
      <c r="M20" s="8">
        <f t="shared" si="8"/>
        <v>17424.58412077534</v>
      </c>
      <c r="N20" s="9">
        <f>-1+(K20/L20)</f>
        <v>0.26309224753601912</v>
      </c>
      <c r="P20" s="45">
        <v>62430.770000000004</v>
      </c>
      <c r="Q20" s="45">
        <v>42630.28</v>
      </c>
      <c r="R20" s="45">
        <v>41701.97</v>
      </c>
      <c r="S20" s="8">
        <v>41075.050000000003</v>
      </c>
      <c r="T20" s="8">
        <v>41938.61</v>
      </c>
      <c r="U20" s="25">
        <v>42591</v>
      </c>
      <c r="W20" s="32">
        <v>12608.268482389809</v>
      </c>
      <c r="X20" s="32">
        <v>71046.256976317934</v>
      </c>
      <c r="Y20" s="32">
        <f t="shared" si="9"/>
        <v>83654.525458707736</v>
      </c>
    </row>
    <row r="21" spans="1:25" ht="12.75" customHeight="1" thickBot="1" x14ac:dyDescent="0.3">
      <c r="A21" s="2" t="s">
        <v>5</v>
      </c>
      <c r="B21" s="2" t="s">
        <v>6</v>
      </c>
      <c r="C21" s="2">
        <v>84</v>
      </c>
      <c r="D21" s="2" t="s">
        <v>10</v>
      </c>
      <c r="E21" s="5">
        <v>24640.22</v>
      </c>
      <c r="F21" s="17">
        <f>E21/E$22</f>
        <v>0.19499450986720634</v>
      </c>
      <c r="J21" s="2" t="s">
        <v>10</v>
      </c>
      <c r="K21" s="55">
        <f t="shared" si="7"/>
        <v>266830.71091649431</v>
      </c>
      <c r="L21" s="45">
        <v>230920.48112116518</v>
      </c>
      <c r="M21" s="8">
        <f t="shared" si="8"/>
        <v>35910.229795329127</v>
      </c>
      <c r="N21" s="9">
        <f>-1+(K21/L21)</f>
        <v>0.15550907230479405</v>
      </c>
      <c r="P21" s="45">
        <v>193496.62</v>
      </c>
      <c r="Q21" s="45">
        <v>119387.44</v>
      </c>
      <c r="R21" s="45">
        <v>107288.06</v>
      </c>
      <c r="S21" s="8">
        <v>103558.48000000001</v>
      </c>
      <c r="T21" s="8">
        <v>110187.19</v>
      </c>
      <c r="U21" s="25">
        <v>128963</v>
      </c>
      <c r="W21" s="32">
        <v>43960.591920239967</v>
      </c>
      <c r="X21" s="32">
        <v>222870.11899625434</v>
      </c>
      <c r="Y21" s="32">
        <f t="shared" si="9"/>
        <v>266830.71091649431</v>
      </c>
    </row>
    <row r="22" spans="1:25" ht="12.75" customHeight="1" thickBot="1" x14ac:dyDescent="0.3">
      <c r="D22" s="21" t="s">
        <v>16</v>
      </c>
      <c r="E22" s="16">
        <f>SUM(E18:E21)</f>
        <v>126363.66027320611</v>
      </c>
      <c r="F22" s="17">
        <f>E22/E$22</f>
        <v>1</v>
      </c>
      <c r="K22" s="56">
        <f>SUM(K18:K21)</f>
        <v>544735.41255711229</v>
      </c>
      <c r="L22" s="45">
        <f>SUM(L18:L21)</f>
        <v>453072.91070602159</v>
      </c>
      <c r="M22" s="8">
        <f t="shared" si="8"/>
        <v>91662.501851090696</v>
      </c>
      <c r="N22" s="9">
        <f>-1+(K22/L22)</f>
        <v>0.20231291627710291</v>
      </c>
      <c r="P22" s="45">
        <f t="shared" ref="P22:U22" si="10">SUM(P18:P21)</f>
        <v>416606</v>
      </c>
      <c r="Q22" s="45">
        <f t="shared" si="10"/>
        <v>269314</v>
      </c>
      <c r="R22" s="45">
        <f t="shared" si="10"/>
        <v>241461</v>
      </c>
      <c r="S22" s="11">
        <f t="shared" si="10"/>
        <v>217186</v>
      </c>
      <c r="T22" s="11">
        <f t="shared" si="10"/>
        <v>218557</v>
      </c>
      <c r="U22" s="26">
        <f t="shared" si="10"/>
        <v>254065</v>
      </c>
      <c r="W22" s="120">
        <f>SUM(W18:W21)</f>
        <v>86252</v>
      </c>
      <c r="X22" s="121">
        <f>SUM(X18:X21)</f>
        <v>458483.41255711217</v>
      </c>
      <c r="Y22" s="120">
        <f>SUM(Y18:Y21)</f>
        <v>544735.41255711229</v>
      </c>
    </row>
    <row r="23" spans="1:25" ht="12.75" customHeight="1" x14ac:dyDescent="0.25">
      <c r="D23" s="3"/>
      <c r="E23" s="6">
        <f>+E22+E13</f>
        <v>176705.0947960974</v>
      </c>
      <c r="K23" s="32">
        <f>+K22+K13</f>
        <v>605261.56950790249</v>
      </c>
      <c r="L23" s="13">
        <f>'Scott 5-29-19'!G11</f>
        <v>605261.56950790249</v>
      </c>
      <c r="M23" s="13">
        <f t="shared" si="8"/>
        <v>0</v>
      </c>
      <c r="N23" s="14"/>
      <c r="P23" s="13"/>
      <c r="Q23" s="13"/>
      <c r="R23" s="13"/>
      <c r="S23" s="13"/>
      <c r="T23" s="13"/>
      <c r="W23" s="32"/>
      <c r="X23" s="107"/>
      <c r="Y23" s="32">
        <f>'Scott 5-29-19'!G11*0.9</f>
        <v>544735.41255711229</v>
      </c>
    </row>
    <row r="24" spans="1:25" ht="12.75" customHeight="1" x14ac:dyDescent="0.25">
      <c r="K24" s="32"/>
      <c r="R24" s="32"/>
    </row>
    <row r="25" spans="1:25" ht="18.75" customHeight="1" thickBot="1" x14ac:dyDescent="0.35">
      <c r="D25" s="22" t="str">
        <f>D32</f>
        <v xml:space="preserve">DW Adm </v>
      </c>
      <c r="J25" s="7" t="s">
        <v>69</v>
      </c>
      <c r="R25" s="32"/>
    </row>
    <row r="26" spans="1:25" ht="40.5" customHeight="1" thickBot="1" x14ac:dyDescent="0.35">
      <c r="A26" s="1" t="s">
        <v>0</v>
      </c>
      <c r="B26" s="1" t="s">
        <v>1</v>
      </c>
      <c r="C26" s="1" t="s">
        <v>2</v>
      </c>
      <c r="D26" s="1" t="s">
        <v>3</v>
      </c>
      <c r="E26" s="4" t="s">
        <v>12</v>
      </c>
      <c r="F26" s="27" t="s">
        <v>22</v>
      </c>
      <c r="J26" s="18" t="s">
        <v>3</v>
      </c>
      <c r="K26" s="54" t="s">
        <v>19</v>
      </c>
      <c r="L26" s="43" t="str">
        <f>L7</f>
        <v>PY18 &amp; FY19 Actual</v>
      </c>
      <c r="M26" s="24" t="s">
        <v>24</v>
      </c>
      <c r="N26" s="24" t="s">
        <v>23</v>
      </c>
      <c r="P26" s="43" t="str">
        <f>P7</f>
        <v>PY17 &amp; FY18 Actual</v>
      </c>
      <c r="Q26" s="43" t="s">
        <v>38</v>
      </c>
      <c r="R26" s="47" t="s">
        <v>37</v>
      </c>
      <c r="S26" s="42" t="s">
        <v>31</v>
      </c>
      <c r="T26" s="42" t="s">
        <v>34</v>
      </c>
      <c r="U26" s="42" t="s">
        <v>35</v>
      </c>
      <c r="W26" s="37" t="str">
        <f>W7</f>
        <v>PY19</v>
      </c>
      <c r="X26" s="102" t="str">
        <f>X7</f>
        <v>FY20 Actual</v>
      </c>
      <c r="Y26" s="35" t="s">
        <v>87</v>
      </c>
    </row>
    <row r="27" spans="1:25" ht="12.75" customHeight="1" x14ac:dyDescent="0.25">
      <c r="A27" s="2" t="s">
        <v>5</v>
      </c>
      <c r="B27" s="2" t="s">
        <v>6</v>
      </c>
      <c r="C27" s="2">
        <v>56</v>
      </c>
      <c r="D27" s="2" t="s">
        <v>7</v>
      </c>
      <c r="E27" s="5">
        <f>34063*0.04</f>
        <v>1362.52</v>
      </c>
      <c r="F27" s="17">
        <f t="shared" ref="F27:F32" si="11">E27/E$32</f>
        <v>0.14946467749012723</v>
      </c>
      <c r="J27" s="2" t="s">
        <v>7</v>
      </c>
      <c r="K27" s="55">
        <f t="shared" ref="K27:K31" si="12">W27+X27</f>
        <v>7669.385815403326</v>
      </c>
      <c r="L27" s="45">
        <v>7554.1480692834621</v>
      </c>
      <c r="M27" s="8">
        <f t="shared" ref="M27:M32" si="13">K27-L27</f>
        <v>115.23774611986391</v>
      </c>
      <c r="N27" s="9">
        <f t="shared" ref="N27:N32" si="14">-1+(K27/L27)</f>
        <v>1.5254896391089012E-2</v>
      </c>
      <c r="P27" s="45">
        <v>8622.4279999999999</v>
      </c>
      <c r="Q27" s="45">
        <v>6979.96</v>
      </c>
      <c r="R27" s="31">
        <v>6776.4679999999998</v>
      </c>
      <c r="S27" s="8">
        <v>5304.4</v>
      </c>
      <c r="T27" s="8">
        <v>4807.5999999999995</v>
      </c>
      <c r="U27" s="25">
        <v>1270</v>
      </c>
      <c r="W27" s="32">
        <f>'Scott 5-29-19'!M7*0.04</f>
        <v>1335.8408913035848</v>
      </c>
      <c r="X27" s="32">
        <f>'Scott 5-29-19'!N7*0.04</f>
        <v>6333.5449240997414</v>
      </c>
      <c r="Y27" s="32">
        <f>W27+X27</f>
        <v>7669.385815403326</v>
      </c>
    </row>
    <row r="28" spans="1:25" ht="12.75" customHeight="1" x14ac:dyDescent="0.25">
      <c r="A28" s="2" t="s">
        <v>5</v>
      </c>
      <c r="B28" s="2" t="s">
        <v>6</v>
      </c>
      <c r="C28" s="2">
        <v>58</v>
      </c>
      <c r="D28" s="2" t="s">
        <v>8</v>
      </c>
      <c r="E28" s="5">
        <f>14585*0.04</f>
        <v>583.4</v>
      </c>
      <c r="F28" s="17">
        <f t="shared" si="11"/>
        <v>6.399736726634489E-2</v>
      </c>
      <c r="J28" s="2" t="s">
        <v>8</v>
      </c>
      <c r="K28" s="55">
        <f t="shared" si="12"/>
        <v>3757.5165682195448</v>
      </c>
      <c r="L28" s="45">
        <v>3908.0299431410194</v>
      </c>
      <c r="M28" s="8">
        <f t="shared" si="13"/>
        <v>-150.51337492147468</v>
      </c>
      <c r="N28" s="9">
        <f t="shared" si="14"/>
        <v>-3.8513874538152026E-2</v>
      </c>
      <c r="P28" s="45">
        <v>3691.6480000000001</v>
      </c>
      <c r="Q28" s="45">
        <v>3044.95</v>
      </c>
      <c r="R28" s="31">
        <v>2736.0960000000005</v>
      </c>
      <c r="S28" s="8">
        <v>2617.1999999999998</v>
      </c>
      <c r="T28" s="8">
        <v>1628.8</v>
      </c>
      <c r="U28" s="25">
        <v>1837</v>
      </c>
      <c r="W28" s="32">
        <f>'Scott 5-29-19'!M8*0.04</f>
        <v>654.47799894187699</v>
      </c>
      <c r="X28" s="32">
        <f>'Scott 5-29-19'!N8*0.04</f>
        <v>3103.0385692776676</v>
      </c>
      <c r="Y28" s="32">
        <f t="shared" ref="Y28:Y31" si="15">W28+X28</f>
        <v>3757.5165682195448</v>
      </c>
    </row>
    <row r="29" spans="1:25" ht="12.75" customHeight="1" x14ac:dyDescent="0.25">
      <c r="A29" s="2" t="s">
        <v>5</v>
      </c>
      <c r="B29" s="2" t="s">
        <v>6</v>
      </c>
      <c r="C29" s="2">
        <v>61</v>
      </c>
      <c r="D29" s="2" t="s">
        <v>9</v>
      </c>
      <c r="E29" s="5">
        <f>12074*0.04</f>
        <v>482.96000000000004</v>
      </c>
      <c r="F29" s="17">
        <f t="shared" si="11"/>
        <v>5.2979376919701629E-2</v>
      </c>
      <c r="J29" s="2" t="s">
        <v>9</v>
      </c>
      <c r="K29" s="55">
        <f t="shared" si="12"/>
        <v>3767.2592348762428</v>
      </c>
      <c r="L29" s="45">
        <v>3338.778648922264</v>
      </c>
      <c r="M29" s="8">
        <f t="shared" si="13"/>
        <v>428.48058595397879</v>
      </c>
      <c r="N29" s="9">
        <f t="shared" si="14"/>
        <v>0.12833452918248689</v>
      </c>
      <c r="P29" s="45">
        <v>3056.2640000000001</v>
      </c>
      <c r="Q29" s="45">
        <v>2332.54</v>
      </c>
      <c r="R29" s="31">
        <v>2299.6760000000004</v>
      </c>
      <c r="S29" s="8">
        <v>2155.6</v>
      </c>
      <c r="T29" s="8">
        <v>1252.4000000000001</v>
      </c>
      <c r="U29" s="25">
        <v>1452</v>
      </c>
      <c r="W29" s="32">
        <f>'Scott 5-29-19'!M9*0.04</f>
        <v>656.17496044878385</v>
      </c>
      <c r="X29" s="32">
        <f>'Scott 5-29-19'!N9*0.04</f>
        <v>3111.0842744274591</v>
      </c>
      <c r="Y29" s="32">
        <f t="shared" si="15"/>
        <v>3767.2592348762428</v>
      </c>
    </row>
    <row r="30" spans="1:25" ht="12.75" customHeight="1" x14ac:dyDescent="0.25">
      <c r="A30" s="2" t="s">
        <v>5</v>
      </c>
      <c r="B30" s="2" t="s">
        <v>6</v>
      </c>
      <c r="C30" s="2">
        <v>84</v>
      </c>
      <c r="D30" s="2" t="s">
        <v>10</v>
      </c>
      <c r="E30" s="5">
        <f>30429*0.04</f>
        <v>1217.1600000000001</v>
      </c>
      <c r="F30" s="17">
        <f t="shared" si="11"/>
        <v>0.13351908731899956</v>
      </c>
      <c r="J30" s="2" t="s">
        <v>10</v>
      </c>
      <c r="K30" s="55">
        <f t="shared" si="12"/>
        <v>9035.5374379610457</v>
      </c>
      <c r="L30" s="45">
        <v>9824.8361513837026</v>
      </c>
      <c r="M30" s="8">
        <f t="shared" si="13"/>
        <v>-789.29871342265687</v>
      </c>
      <c r="N30" s="9">
        <f t="shared" si="14"/>
        <v>-8.03370866710581E-2</v>
      </c>
      <c r="P30" s="45">
        <v>7702.5</v>
      </c>
      <c r="Q30" s="45">
        <v>6123.6900000000005</v>
      </c>
      <c r="R30" s="31">
        <v>5968.1600000000008</v>
      </c>
      <c r="S30" s="8">
        <v>4754</v>
      </c>
      <c r="T30" s="8">
        <v>2608</v>
      </c>
      <c r="U30" s="25">
        <v>4537</v>
      </c>
      <c r="W30" s="32">
        <f>'Scott 5-29-19'!M10*0.04</f>
        <v>1573.7949133151071</v>
      </c>
      <c r="X30" s="32">
        <f>'Scott 5-29-19'!N10*0.04</f>
        <v>7461.7425246459379</v>
      </c>
      <c r="Y30" s="32">
        <f t="shared" si="15"/>
        <v>9035.5374379610457</v>
      </c>
    </row>
    <row r="31" spans="1:25" ht="12.75" customHeight="1" thickBot="1" x14ac:dyDescent="0.3">
      <c r="A31" s="3"/>
      <c r="B31" s="3"/>
      <c r="C31" s="3"/>
      <c r="D31" s="2" t="s">
        <v>11</v>
      </c>
      <c r="E31" s="5">
        <f>(91151*0.06)+0.9</f>
        <v>5469.9599999999991</v>
      </c>
      <c r="F31" s="17">
        <f t="shared" si="11"/>
        <v>0.60003949100482656</v>
      </c>
      <c r="J31" s="2" t="s">
        <v>11</v>
      </c>
      <c r="K31" s="55">
        <f t="shared" si="12"/>
        <v>36344.548584690237</v>
      </c>
      <c r="L31" s="45">
        <v>36938.689219095671</v>
      </c>
      <c r="M31" s="8">
        <f t="shared" si="13"/>
        <v>-594.14063440543396</v>
      </c>
      <c r="N31" s="9">
        <f t="shared" si="14"/>
        <v>-1.6084507787522906E-2</v>
      </c>
      <c r="P31" s="45">
        <v>34610.160000000003</v>
      </c>
      <c r="Q31" s="45">
        <v>27718.86</v>
      </c>
      <c r="R31" s="31">
        <v>26670.6</v>
      </c>
      <c r="S31" s="8">
        <v>22249.8</v>
      </c>
      <c r="T31" s="8">
        <v>15445.2</v>
      </c>
      <c r="U31" s="25">
        <v>13644</v>
      </c>
      <c r="W31" s="32">
        <f>'Scott 5-29-19'!M11*0.06</f>
        <v>6330.4331460140284</v>
      </c>
      <c r="X31" s="32">
        <f>'Scott 5-29-19'!N11*0.06</f>
        <v>30014.115438676206</v>
      </c>
      <c r="Y31" s="32">
        <f t="shared" si="15"/>
        <v>36344.548584690237</v>
      </c>
    </row>
    <row r="32" spans="1:25" ht="12.75" customHeight="1" thickBot="1" x14ac:dyDescent="0.3">
      <c r="D32" s="21" t="s">
        <v>17</v>
      </c>
      <c r="E32" s="16">
        <f>SUM(E27:E31)</f>
        <v>9116</v>
      </c>
      <c r="F32" s="17">
        <f t="shared" si="11"/>
        <v>1</v>
      </c>
      <c r="K32" s="56">
        <f>SUM(K27:K31)</f>
        <v>60574.247641150396</v>
      </c>
      <c r="L32" s="45">
        <f>SUM(L27:L31)</f>
        <v>61564.482031826119</v>
      </c>
      <c r="M32" s="8">
        <f t="shared" si="13"/>
        <v>-990.23439067572326</v>
      </c>
      <c r="N32" s="9">
        <f t="shared" si="14"/>
        <v>-1.6084507787522906E-2</v>
      </c>
      <c r="P32" s="45">
        <f t="shared" ref="P32:U32" si="16">SUM(P27:P31)</f>
        <v>57683</v>
      </c>
      <c r="Q32" s="45">
        <f t="shared" si="16"/>
        <v>46200</v>
      </c>
      <c r="R32" s="31">
        <f t="shared" si="16"/>
        <v>44451</v>
      </c>
      <c r="S32" s="11">
        <f t="shared" si="16"/>
        <v>37081</v>
      </c>
      <c r="T32" s="11">
        <f t="shared" si="16"/>
        <v>25742</v>
      </c>
      <c r="U32" s="26">
        <f t="shared" si="16"/>
        <v>22740</v>
      </c>
      <c r="W32" s="118">
        <f t="shared" ref="W32:X32" si="17">SUM(W27:W31)</f>
        <v>10550.721910023381</v>
      </c>
      <c r="X32" s="119">
        <f t="shared" si="17"/>
        <v>50023.525731127011</v>
      </c>
      <c r="Y32" s="118">
        <f>SUM(Y27:Y31)</f>
        <v>60574.247641150396</v>
      </c>
    </row>
    <row r="33" spans="1:26" ht="12.75" customHeight="1" x14ac:dyDescent="0.25">
      <c r="D33" s="3"/>
      <c r="K33" s="32"/>
      <c r="M33" s="13"/>
      <c r="N33" s="14"/>
      <c r="R33" s="32"/>
      <c r="S33" s="13"/>
      <c r="T33" s="13"/>
      <c r="W33" s="32"/>
      <c r="X33" s="107"/>
      <c r="Y33" s="32">
        <f>'Scott 5-29-19'!L11*0.1</f>
        <v>60574.247641150403</v>
      </c>
    </row>
    <row r="34" spans="1:26" ht="12.75" customHeight="1" x14ac:dyDescent="0.25">
      <c r="D34" s="3"/>
      <c r="K34" s="32"/>
      <c r="M34" s="13"/>
      <c r="N34" s="14"/>
      <c r="R34" s="32"/>
      <c r="S34" s="13"/>
      <c r="T34" s="13"/>
      <c r="W34" s="96"/>
    </row>
    <row r="35" spans="1:26" ht="18" customHeight="1" thickBot="1" x14ac:dyDescent="0.35">
      <c r="D35" s="22" t="str">
        <f>D41</f>
        <v xml:space="preserve">DW </v>
      </c>
      <c r="J35" s="7" t="s">
        <v>18</v>
      </c>
      <c r="R35" s="32"/>
    </row>
    <row r="36" spans="1:26" ht="40.5" customHeight="1" thickBot="1" x14ac:dyDescent="0.35">
      <c r="A36" s="1" t="s">
        <v>0</v>
      </c>
      <c r="B36" s="1" t="s">
        <v>1</v>
      </c>
      <c r="C36" s="1" t="s">
        <v>2</v>
      </c>
      <c r="D36" s="1" t="s">
        <v>3</v>
      </c>
      <c r="E36" s="4" t="s">
        <v>12</v>
      </c>
      <c r="F36" s="27" t="s">
        <v>22</v>
      </c>
      <c r="J36" s="18" t="s">
        <v>3</v>
      </c>
      <c r="K36" s="54" t="s">
        <v>19</v>
      </c>
      <c r="L36" s="43" t="str">
        <f>L7</f>
        <v>PY18 &amp; FY19 Actual</v>
      </c>
      <c r="M36" s="24" t="s">
        <v>24</v>
      </c>
      <c r="N36" s="24" t="s">
        <v>23</v>
      </c>
      <c r="P36" s="43" t="str">
        <f>P7</f>
        <v>PY17 &amp; FY18 Actual</v>
      </c>
      <c r="Q36" s="43" t="s">
        <v>38</v>
      </c>
      <c r="R36" s="47" t="s">
        <v>37</v>
      </c>
      <c r="S36" s="42" t="s">
        <v>31</v>
      </c>
      <c r="T36" s="42" t="s">
        <v>34</v>
      </c>
      <c r="U36" s="42" t="s">
        <v>35</v>
      </c>
      <c r="W36" s="37" t="str">
        <f>W26</f>
        <v>PY19</v>
      </c>
      <c r="X36" s="102" t="str">
        <f>X26</f>
        <v>FY20 Actual</v>
      </c>
      <c r="Y36" s="35" t="s">
        <v>87</v>
      </c>
    </row>
    <row r="37" spans="1:26" ht="12.75" customHeight="1" x14ac:dyDescent="0.25">
      <c r="A37" s="2" t="s">
        <v>5</v>
      </c>
      <c r="B37" s="2" t="s">
        <v>6</v>
      </c>
      <c r="C37" s="2">
        <v>56</v>
      </c>
      <c r="D37" s="2" t="s">
        <v>7</v>
      </c>
      <c r="E37" s="5">
        <v>30657.51</v>
      </c>
      <c r="F37" s="17">
        <f>E37/E$41</f>
        <v>0.37371256171146461</v>
      </c>
      <c r="J37" s="2" t="s">
        <v>7</v>
      </c>
      <c r="K37" s="55">
        <f t="shared" ref="K37:K40" si="18">W37+X37</f>
        <v>172561.18084657483</v>
      </c>
      <c r="L37" s="45">
        <v>169968.33155887789</v>
      </c>
      <c r="M37" s="8">
        <f>K37-L37</f>
        <v>2592.8492876969394</v>
      </c>
      <c r="N37" s="9">
        <f>-1+(K37/L37)</f>
        <v>1.5254896391089012E-2</v>
      </c>
      <c r="P37" s="45">
        <v>194000.71000000002</v>
      </c>
      <c r="Q37" s="45">
        <v>157036.51</v>
      </c>
      <c r="R37" s="31">
        <v>152464.54999999999</v>
      </c>
      <c r="S37" s="8">
        <v>119359</v>
      </c>
      <c r="T37" s="8">
        <v>108168</v>
      </c>
      <c r="U37" s="25">
        <v>28583</v>
      </c>
      <c r="W37" s="32">
        <v>29128.470686071145</v>
      </c>
      <c r="X37" s="32">
        <v>143432.71016050369</v>
      </c>
      <c r="Y37" s="32">
        <f>W37+X37</f>
        <v>172561.18084657483</v>
      </c>
    </row>
    <row r="38" spans="1:26" ht="12.75" customHeight="1" x14ac:dyDescent="0.25">
      <c r="A38" s="2" t="s">
        <v>5</v>
      </c>
      <c r="B38" s="2" t="s">
        <v>6</v>
      </c>
      <c r="C38" s="2">
        <v>58</v>
      </c>
      <c r="D38" s="2" t="s">
        <v>8</v>
      </c>
      <c r="E38" s="5">
        <v>13125.43</v>
      </c>
      <c r="F38" s="17">
        <f>E38/E$41</f>
        <v>0.15999792771378071</v>
      </c>
      <c r="J38" s="2" t="s">
        <v>8</v>
      </c>
      <c r="K38" s="55">
        <f t="shared" si="18"/>
        <v>84544.122784939755</v>
      </c>
      <c r="L38" s="45">
        <v>87930.67372067293</v>
      </c>
      <c r="M38" s="8">
        <f>K38-L38</f>
        <v>-3386.5509357331757</v>
      </c>
      <c r="N38" s="9">
        <f>-1+(K38/L38)</f>
        <v>-3.8513874538152026E-2</v>
      </c>
      <c r="P38" s="45">
        <v>83063.359999999986</v>
      </c>
      <c r="Q38" s="45">
        <v>68508.66</v>
      </c>
      <c r="R38" s="31">
        <v>61567.9</v>
      </c>
      <c r="S38" s="8">
        <v>58892</v>
      </c>
      <c r="T38" s="8">
        <v>36638</v>
      </c>
      <c r="U38" s="25">
        <v>41330</v>
      </c>
      <c r="W38" s="32">
        <v>15069.195704800253</v>
      </c>
      <c r="X38" s="32">
        <v>69474.927080139503</v>
      </c>
      <c r="Y38" s="32">
        <f t="shared" ref="Y38:Y40" si="19">W38+X38</f>
        <v>84544.122784939755</v>
      </c>
    </row>
    <row r="39" spans="1:26" ht="12.75" customHeight="1" x14ac:dyDescent="0.25">
      <c r="A39" s="2" t="s">
        <v>5</v>
      </c>
      <c r="B39" s="2" t="s">
        <v>6</v>
      </c>
      <c r="C39" s="2">
        <v>61</v>
      </c>
      <c r="D39" s="2" t="s">
        <v>9</v>
      </c>
      <c r="E39" s="5">
        <v>10866.66</v>
      </c>
      <c r="F39" s="17">
        <f>E39/E$41</f>
        <v>0.13246370451636497</v>
      </c>
      <c r="J39" s="2" t="s">
        <v>9</v>
      </c>
      <c r="K39" s="55">
        <f t="shared" si="18"/>
        <v>84763.332784715458</v>
      </c>
      <c r="L39" s="45">
        <v>75122.519600750951</v>
      </c>
      <c r="M39" s="8">
        <f>K39-L39</f>
        <v>9640.8131839645066</v>
      </c>
      <c r="N39" s="9">
        <f>-1+(K39/L39)</f>
        <v>0.12833452918248667</v>
      </c>
      <c r="P39" s="45">
        <v>68763.22</v>
      </c>
      <c r="Q39" s="45">
        <v>52464.71</v>
      </c>
      <c r="R39" s="31">
        <v>51740.75</v>
      </c>
      <c r="S39" s="8">
        <v>48509</v>
      </c>
      <c r="T39" s="8">
        <v>28172</v>
      </c>
      <c r="U39" s="25">
        <v>32670</v>
      </c>
      <c r="W39" s="32">
        <v>12874.187149953132</v>
      </c>
      <c r="X39" s="32">
        <v>71889.145634762332</v>
      </c>
      <c r="Y39" s="32">
        <f t="shared" si="19"/>
        <v>84763.332784715458</v>
      </c>
    </row>
    <row r="40" spans="1:26" ht="12.75" customHeight="1" thickBot="1" x14ac:dyDescent="0.3">
      <c r="A40" s="2" t="s">
        <v>5</v>
      </c>
      <c r="B40" s="2" t="s">
        <v>6</v>
      </c>
      <c r="C40" s="2">
        <v>84</v>
      </c>
      <c r="D40" s="2" t="s">
        <v>10</v>
      </c>
      <c r="E40" s="5">
        <v>27385.4</v>
      </c>
      <c r="F40" s="17">
        <f>E40/E$41</f>
        <v>0.33382580605838974</v>
      </c>
      <c r="J40" s="2" t="s">
        <v>10</v>
      </c>
      <c r="K40" s="55">
        <f t="shared" si="18"/>
        <v>203299.59235412348</v>
      </c>
      <c r="L40" s="45">
        <v>221058.8134061333</v>
      </c>
      <c r="M40" s="46">
        <f>K40-L40</f>
        <v>-17759.221052009816</v>
      </c>
      <c r="N40" s="9">
        <f>-1+(K40/L40)</f>
        <v>-8.0337086671058211E-2</v>
      </c>
      <c r="P40" s="45">
        <v>173301.71</v>
      </c>
      <c r="Q40" s="45">
        <v>137771.12</v>
      </c>
      <c r="R40" s="50">
        <v>134289.79999999999</v>
      </c>
      <c r="S40" s="8">
        <v>106973</v>
      </c>
      <c r="T40" s="8">
        <v>58678</v>
      </c>
      <c r="U40" s="25">
        <v>102070</v>
      </c>
      <c r="W40" s="32">
        <v>37885.146459175463</v>
      </c>
      <c r="X40" s="32">
        <v>165414.44589494803</v>
      </c>
      <c r="Y40" s="32">
        <f t="shared" si="19"/>
        <v>203299.59235412348</v>
      </c>
    </row>
    <row r="41" spans="1:26" ht="12.75" customHeight="1" thickBot="1" x14ac:dyDescent="0.3">
      <c r="D41" s="21" t="s">
        <v>18</v>
      </c>
      <c r="E41" s="16">
        <f>SUM(E37:E40)</f>
        <v>82035</v>
      </c>
      <c r="F41" s="17">
        <f>E41/E$41</f>
        <v>1</v>
      </c>
      <c r="K41" s="56">
        <f>SUM(K37:K40)</f>
        <v>545168.2287703536</v>
      </c>
      <c r="L41" s="45">
        <f>SUM(L37:L40)</f>
        <v>554080.33828643512</v>
      </c>
      <c r="M41" s="45">
        <f t="shared" ref="M41" si="20">SUM(M37:M40)</f>
        <v>-8912.1095160815457</v>
      </c>
      <c r="N41" s="39">
        <f>-1+(K41/L41)</f>
        <v>-1.6084507787522906E-2</v>
      </c>
      <c r="P41" s="45">
        <f>SUM(P37:P40)</f>
        <v>519129</v>
      </c>
      <c r="Q41" s="45">
        <f>SUM(Q37:Q40)</f>
        <v>415781</v>
      </c>
      <c r="R41" s="31">
        <f t="shared" ref="R41" si="21">SUM(R37:R40)</f>
        <v>400062.99999999994</v>
      </c>
      <c r="S41" s="11">
        <f>SUM(S37:S40)</f>
        <v>333733</v>
      </c>
      <c r="T41" s="11">
        <f>SUM(T37:T40)</f>
        <v>231656</v>
      </c>
      <c r="U41" s="26">
        <f>SUM(U37:U40)</f>
        <v>204653</v>
      </c>
      <c r="W41" s="120">
        <f>SUM(W37:W40)</f>
        <v>94957</v>
      </c>
      <c r="X41" s="121">
        <f>SUM(X37:X40)</f>
        <v>450211.22877035354</v>
      </c>
      <c r="Y41" s="120">
        <f>SUM(Y37:Y40)</f>
        <v>545168.2287703536</v>
      </c>
    </row>
    <row r="42" spans="1:26" ht="12.75" customHeight="1" x14ac:dyDescent="0.25">
      <c r="D42" s="3"/>
      <c r="E42" s="6">
        <f>E41+E32</f>
        <v>91151</v>
      </c>
      <c r="K42" s="32">
        <f>K41+K32</f>
        <v>605742.47641150397</v>
      </c>
      <c r="L42" s="13">
        <f>'Scott 5-29-19'!L11</f>
        <v>605742.47641150397</v>
      </c>
      <c r="M42" s="13"/>
      <c r="N42" s="14"/>
      <c r="P42" s="13"/>
      <c r="Q42" s="13"/>
      <c r="R42" s="32"/>
      <c r="S42" s="13"/>
      <c r="T42" s="13"/>
      <c r="W42" s="32"/>
      <c r="X42" s="107"/>
      <c r="Y42" s="32">
        <f>'Scott 5-29-19'!L11*0.9</f>
        <v>545168.2287703536</v>
      </c>
    </row>
    <row r="43" spans="1:26" ht="12.75" customHeight="1" x14ac:dyDescent="0.25">
      <c r="D43" s="23" t="s">
        <v>29</v>
      </c>
      <c r="E43" s="3"/>
      <c r="F43"/>
      <c r="K43" s="32"/>
      <c r="R43" s="32"/>
      <c r="W43" t="s">
        <v>104</v>
      </c>
    </row>
    <row r="44" spans="1:26" ht="12.75" hidden="1" customHeight="1" x14ac:dyDescent="0.25">
      <c r="D44" t="s">
        <v>14</v>
      </c>
      <c r="E44"/>
      <c r="F44"/>
      <c r="K44" s="32"/>
      <c r="R44" s="32"/>
    </row>
    <row r="45" spans="1:26" ht="12.75" hidden="1" customHeight="1" x14ac:dyDescent="0.25">
      <c r="A45" s="1" t="s">
        <v>0</v>
      </c>
      <c r="B45" s="1" t="s">
        <v>1</v>
      </c>
      <c r="C45" s="1" t="s">
        <v>2</v>
      </c>
      <c r="E45"/>
      <c r="F45"/>
      <c r="K45" s="32"/>
      <c r="R45" s="32"/>
    </row>
    <row r="46" spans="1:26" ht="17.25" customHeight="1" x14ac:dyDescent="0.3">
      <c r="A46" s="2" t="s">
        <v>5</v>
      </c>
      <c r="B46" s="2" t="s">
        <v>6</v>
      </c>
      <c r="C46" s="2">
        <v>56</v>
      </c>
      <c r="D46" t="str">
        <f>D53</f>
        <v xml:space="preserve">Youth Adm </v>
      </c>
      <c r="F46"/>
      <c r="J46" s="7" t="s">
        <v>70</v>
      </c>
      <c r="K46" s="32"/>
      <c r="R46" s="32"/>
      <c r="W46" t="s">
        <v>105</v>
      </c>
    </row>
    <row r="47" spans="1:26" ht="12.75" customHeight="1" x14ac:dyDescent="0.25">
      <c r="A47" s="2" t="s">
        <v>5</v>
      </c>
      <c r="B47" s="2" t="s">
        <v>6</v>
      </c>
      <c r="C47" s="2">
        <v>58</v>
      </c>
      <c r="D47" s="1" t="s">
        <v>3</v>
      </c>
      <c r="E47" s="4" t="s">
        <v>12</v>
      </c>
      <c r="F47"/>
      <c r="J47" s="18" t="s">
        <v>3</v>
      </c>
      <c r="K47" s="51" t="s">
        <v>100</v>
      </c>
      <c r="L47" s="51" t="s">
        <v>46</v>
      </c>
      <c r="M47" s="24" t="s">
        <v>24</v>
      </c>
      <c r="N47" s="24" t="s">
        <v>23</v>
      </c>
      <c r="P47" s="51" t="s">
        <v>43</v>
      </c>
      <c r="Q47" s="51" t="s">
        <v>36</v>
      </c>
      <c r="R47" s="51" t="s">
        <v>30</v>
      </c>
      <c r="S47" s="36" t="s">
        <v>20</v>
      </c>
      <c r="T47" s="36" t="s">
        <v>33</v>
      </c>
      <c r="U47" s="33" t="s">
        <v>21</v>
      </c>
      <c r="X47" s="107"/>
    </row>
    <row r="48" spans="1:26" ht="12.75" customHeight="1" x14ac:dyDescent="0.25">
      <c r="A48" s="2" t="s">
        <v>5</v>
      </c>
      <c r="B48" s="2" t="s">
        <v>6</v>
      </c>
      <c r="C48" s="2">
        <v>61</v>
      </c>
      <c r="D48" s="2" t="s">
        <v>7</v>
      </c>
      <c r="E48" s="5">
        <f>106335*0.04</f>
        <v>4253.3999999999996</v>
      </c>
      <c r="F48"/>
      <c r="J48" s="2" t="s">
        <v>7</v>
      </c>
      <c r="K48" s="5">
        <f>'Scott 5-29-19'!D7*0.04</f>
        <v>4921.2379251626808</v>
      </c>
      <c r="L48" s="30">
        <v>3853.2622609954697</v>
      </c>
      <c r="M48" s="8">
        <f t="shared" ref="M48:M53" si="22">K48-L48</f>
        <v>1067.9756641672111</v>
      </c>
      <c r="N48" s="9">
        <f t="shared" ref="N48:N53" si="23">-1+(K48/L48)</f>
        <v>0.27716142630045248</v>
      </c>
      <c r="P48" s="30">
        <v>4253.3999999999996</v>
      </c>
      <c r="Q48" s="30">
        <v>2799.01</v>
      </c>
      <c r="R48" s="30">
        <v>2190.2959999999998</v>
      </c>
      <c r="S48" s="8">
        <v>1442.6440000000002</v>
      </c>
      <c r="T48" s="8">
        <v>1293.8320000000001</v>
      </c>
      <c r="U48" s="29">
        <v>2036</v>
      </c>
      <c r="X48" s="107"/>
      <c r="Z48" s="96"/>
    </row>
    <row r="49" spans="1:26" ht="12.75" customHeight="1" x14ac:dyDescent="0.25">
      <c r="A49" s="2" t="s">
        <v>5</v>
      </c>
      <c r="B49" s="2" t="s">
        <v>6</v>
      </c>
      <c r="C49" s="2">
        <v>84</v>
      </c>
      <c r="D49" s="2" t="s">
        <v>8</v>
      </c>
      <c r="E49" s="5">
        <f>78693*0.04</f>
        <v>3147.7200000000003</v>
      </c>
      <c r="F49"/>
      <c r="J49" s="2" t="s">
        <v>8</v>
      </c>
      <c r="K49" s="5">
        <f>'Scott 5-29-19'!D8*0.04</f>
        <v>3940.7546689156206</v>
      </c>
      <c r="L49" s="30">
        <v>3248.1932610225649</v>
      </c>
      <c r="M49" s="8">
        <f t="shared" si="22"/>
        <v>692.56140789305573</v>
      </c>
      <c r="N49" s="9">
        <f t="shared" si="23"/>
        <v>0.21321434786642901</v>
      </c>
      <c r="P49" s="30">
        <v>3147.7200000000003</v>
      </c>
      <c r="Q49" s="30">
        <v>2080.59</v>
      </c>
      <c r="R49" s="30">
        <v>1943.5160000000001</v>
      </c>
      <c r="S49" s="8">
        <v>1759.3200000000002</v>
      </c>
      <c r="T49" s="8">
        <v>1737.36</v>
      </c>
      <c r="U49" s="30">
        <v>2688</v>
      </c>
      <c r="X49" s="107"/>
      <c r="Z49" s="96"/>
    </row>
    <row r="50" spans="1:26" ht="12.75" customHeight="1" x14ac:dyDescent="0.25">
      <c r="A50" s="3"/>
      <c r="B50" s="3"/>
      <c r="C50" s="3"/>
      <c r="D50" s="2" t="s">
        <v>9</v>
      </c>
      <c r="E50" s="5">
        <f>64177*0.04</f>
        <v>2567.08</v>
      </c>
      <c r="F50"/>
      <c r="J50" s="2" t="s">
        <v>9</v>
      </c>
      <c r="K50" s="5">
        <f>'Scott 5-29-19'!D9*0.04</f>
        <v>3371.3087341660712</v>
      </c>
      <c r="L50" s="30">
        <v>2636.2756834755978</v>
      </c>
      <c r="M50" s="8">
        <f t="shared" si="22"/>
        <v>735.03305069047337</v>
      </c>
      <c r="N50" s="9">
        <f t="shared" si="23"/>
        <v>0.27881494158510178</v>
      </c>
      <c r="P50" s="30">
        <v>2567.08</v>
      </c>
      <c r="Q50" s="30">
        <v>1596.86</v>
      </c>
      <c r="R50" s="30">
        <v>1481.4960000000001</v>
      </c>
      <c r="S50" s="8">
        <v>1488.2280000000001</v>
      </c>
      <c r="T50" s="8">
        <v>1584.924</v>
      </c>
      <c r="U50" s="30">
        <v>1915</v>
      </c>
      <c r="X50" s="107"/>
      <c r="Z50" s="96"/>
    </row>
    <row r="51" spans="1:26" ht="12.75" customHeight="1" x14ac:dyDescent="0.25">
      <c r="D51" s="2" t="s">
        <v>10</v>
      </c>
      <c r="E51" s="5">
        <f>223089*0.04</f>
        <v>8923.56</v>
      </c>
      <c r="F51"/>
      <c r="J51" s="2" t="s">
        <v>10</v>
      </c>
      <c r="K51" s="5">
        <f>'Scott 5-29-19'!D10*0.04</f>
        <v>12433.9576300176</v>
      </c>
      <c r="L51" s="30">
        <v>10775.808739940587</v>
      </c>
      <c r="M51" s="8">
        <f t="shared" si="22"/>
        <v>1658.1488900770128</v>
      </c>
      <c r="N51" s="9">
        <f t="shared" si="23"/>
        <v>0.15387697852608273</v>
      </c>
      <c r="P51" s="30">
        <v>8923.56</v>
      </c>
      <c r="Q51" s="30">
        <v>5418.14</v>
      </c>
      <c r="R51" s="30">
        <v>4796.2920000000004</v>
      </c>
      <c r="S51" s="8">
        <v>4646.2080000000005</v>
      </c>
      <c r="T51" s="8">
        <v>5179.0839999999998</v>
      </c>
      <c r="U51" s="30">
        <v>5158</v>
      </c>
      <c r="Z51" s="96"/>
    </row>
    <row r="52" spans="1:26" ht="12.75" customHeight="1" thickBot="1" x14ac:dyDescent="0.3">
      <c r="D52" s="2" t="s">
        <v>11</v>
      </c>
      <c r="E52" s="5">
        <f>(472294*0.06)-0.4</f>
        <v>28337.239999999998</v>
      </c>
      <c r="F52"/>
      <c r="J52" s="2" t="s">
        <v>11</v>
      </c>
      <c r="K52" s="5">
        <f>'Scott 5-29-19'!D11*0.06</f>
        <v>37000.888437392954</v>
      </c>
      <c r="L52" s="30">
        <v>30770.309918151328</v>
      </c>
      <c r="M52" s="8">
        <f t="shared" si="22"/>
        <v>6230.5785192416261</v>
      </c>
      <c r="N52" s="9">
        <f t="shared" si="23"/>
        <v>0.20248670019297488</v>
      </c>
      <c r="P52" s="52">
        <v>28337.239999999998</v>
      </c>
      <c r="Q52" s="30">
        <v>17843.399999999998</v>
      </c>
      <c r="R52" s="52">
        <v>15617.4</v>
      </c>
      <c r="S52" s="8">
        <v>14004.6</v>
      </c>
      <c r="T52" s="8">
        <v>14692.8</v>
      </c>
      <c r="U52" s="30">
        <v>17696</v>
      </c>
      <c r="Z52" s="96"/>
    </row>
    <row r="53" spans="1:26" ht="12.75" customHeight="1" thickBot="1" x14ac:dyDescent="0.3">
      <c r="D53" s="3" t="s">
        <v>27</v>
      </c>
      <c r="E53" s="10">
        <f>SUM(E48:E52)</f>
        <v>47229</v>
      </c>
      <c r="F53"/>
      <c r="K53" s="56">
        <f>SUM(K48:K52)</f>
        <v>61668.147395654923</v>
      </c>
      <c r="L53" s="11">
        <f>SUM(L48:L52)</f>
        <v>51283.84986358555</v>
      </c>
      <c r="M53" s="11">
        <f t="shared" si="22"/>
        <v>10384.297532069373</v>
      </c>
      <c r="N53" s="9">
        <f t="shared" si="23"/>
        <v>0.20248670019297466</v>
      </c>
      <c r="P53" s="31">
        <f>SUM(P48:P52)</f>
        <v>47229</v>
      </c>
      <c r="Q53" s="11">
        <f>SUM(Q48:Q52)</f>
        <v>29738</v>
      </c>
      <c r="R53" s="31">
        <f>SUM(R48:R52)</f>
        <v>26029</v>
      </c>
      <c r="S53" s="11">
        <f>SUM(S48:S52)</f>
        <v>23341</v>
      </c>
      <c r="T53" s="11">
        <f>SUM(T48:T52)</f>
        <v>24488</v>
      </c>
      <c r="U53" s="31">
        <v>29493</v>
      </c>
      <c r="Z53" s="96"/>
    </row>
    <row r="54" spans="1:26" ht="12.75" customHeight="1" x14ac:dyDescent="0.25">
      <c r="D54" s="3"/>
      <c r="F54"/>
      <c r="K54" s="32"/>
      <c r="L54" s="32"/>
      <c r="P54" s="32"/>
      <c r="Q54" s="32"/>
      <c r="R54" s="32"/>
      <c r="U54" s="32"/>
    </row>
    <row r="55" spans="1:26" ht="12.75" customHeight="1" x14ac:dyDescent="0.25">
      <c r="A55" s="1" t="s">
        <v>0</v>
      </c>
      <c r="B55" s="1" t="s">
        <v>1</v>
      </c>
      <c r="C55" s="1" t="s">
        <v>2</v>
      </c>
      <c r="D55" s="3"/>
      <c r="F55"/>
      <c r="K55" s="32"/>
      <c r="L55" s="32"/>
      <c r="P55" s="32"/>
      <c r="Q55" s="32"/>
      <c r="R55" s="32"/>
      <c r="U55" s="32"/>
    </row>
    <row r="56" spans="1:26" ht="12.75" customHeight="1" x14ac:dyDescent="0.3">
      <c r="A56" s="2" t="s">
        <v>5</v>
      </c>
      <c r="B56" s="2" t="s">
        <v>6</v>
      </c>
      <c r="C56" s="2">
        <v>56</v>
      </c>
      <c r="D56" t="str">
        <f>D62</f>
        <v>Youth Program</v>
      </c>
      <c r="F56"/>
      <c r="J56" s="7" t="s">
        <v>71</v>
      </c>
      <c r="K56" s="32"/>
      <c r="L56" s="32"/>
      <c r="P56" s="32"/>
      <c r="Q56" s="32"/>
      <c r="R56" s="32"/>
      <c r="U56" s="32"/>
    </row>
    <row r="57" spans="1:26" ht="12.75" customHeight="1" x14ac:dyDescent="0.25">
      <c r="A57" s="2" t="s">
        <v>5</v>
      </c>
      <c r="B57" s="2" t="s">
        <v>6</v>
      </c>
      <c r="C57" s="2">
        <v>58</v>
      </c>
      <c r="D57" s="1" t="s">
        <v>3</v>
      </c>
      <c r="E57" s="4" t="s">
        <v>4</v>
      </c>
      <c r="F57"/>
      <c r="G57" s="23" t="s">
        <v>45</v>
      </c>
      <c r="J57" s="18" t="s">
        <v>3</v>
      </c>
      <c r="K57" s="51" t="str">
        <f>K47</f>
        <v>PY19 Final</v>
      </c>
      <c r="L57" s="51" t="str">
        <f>L47</f>
        <v>PY18 Final</v>
      </c>
      <c r="M57" s="24" t="s">
        <v>24</v>
      </c>
      <c r="N57" s="24" t="s">
        <v>23</v>
      </c>
      <c r="P57" s="51" t="str">
        <f>P47</f>
        <v>PY17 Final</v>
      </c>
      <c r="Q57" s="51" t="str">
        <f>Q47</f>
        <v>PY16 Final</v>
      </c>
      <c r="R57" s="51" t="s">
        <v>30</v>
      </c>
      <c r="S57" s="28" t="str">
        <f>S47</f>
        <v>PY14 Final</v>
      </c>
      <c r="T57" s="36" t="s">
        <v>33</v>
      </c>
      <c r="U57" s="33" t="s">
        <v>21</v>
      </c>
    </row>
    <row r="58" spans="1:26" ht="12.75" customHeight="1" x14ac:dyDescent="0.25">
      <c r="A58" s="2" t="s">
        <v>5</v>
      </c>
      <c r="B58" s="2" t="s">
        <v>6</v>
      </c>
      <c r="C58" s="2">
        <v>61</v>
      </c>
      <c r="D58" s="2" t="s">
        <v>7</v>
      </c>
      <c r="E58" s="5">
        <v>95701.39</v>
      </c>
      <c r="F58"/>
      <c r="G58" s="59" t="s">
        <v>44</v>
      </c>
      <c r="J58" s="2" t="s">
        <v>7</v>
      </c>
      <c r="K58" s="30">
        <f>'Scott 5-29-19'!D7*0.9</f>
        <v>110727.85331616033</v>
      </c>
      <c r="L58" s="30">
        <v>86698.400872398066</v>
      </c>
      <c r="M58" s="8">
        <f>K58-L58</f>
        <v>24029.45244376226</v>
      </c>
      <c r="N58" s="9">
        <f>-1+(K58/L58)</f>
        <v>0.27716142630045271</v>
      </c>
      <c r="P58" s="30">
        <v>95701.39</v>
      </c>
      <c r="Q58" s="30">
        <v>62977.34</v>
      </c>
      <c r="R58" s="30">
        <v>49275.12</v>
      </c>
      <c r="S58" s="8">
        <v>32458.95</v>
      </c>
      <c r="T58" s="8">
        <v>29111.09</v>
      </c>
      <c r="U58" s="29">
        <v>45806</v>
      </c>
    </row>
    <row r="59" spans="1:26" ht="12.75" customHeight="1" x14ac:dyDescent="0.25">
      <c r="A59" s="2" t="s">
        <v>5</v>
      </c>
      <c r="B59" s="2" t="s">
        <v>6</v>
      </c>
      <c r="C59" s="2">
        <v>84</v>
      </c>
      <c r="D59" s="2" t="s">
        <v>8</v>
      </c>
      <c r="E59" s="5">
        <v>70823.56</v>
      </c>
      <c r="F59"/>
      <c r="J59" s="2" t="s">
        <v>8</v>
      </c>
      <c r="K59" s="30">
        <f>'Scott 5-29-19'!D8*0.9</f>
        <v>88666.980050601458</v>
      </c>
      <c r="L59" s="30">
        <v>73084.348373007713</v>
      </c>
      <c r="M59" s="8">
        <f>K59-L59</f>
        <v>15582.631677593745</v>
      </c>
      <c r="N59" s="9">
        <f>-1+(K59/L59)</f>
        <v>0.21321434786642901</v>
      </c>
      <c r="P59" s="30">
        <v>70823.56</v>
      </c>
      <c r="Q59" s="30">
        <v>46824.45</v>
      </c>
      <c r="R59" s="30">
        <v>43728.45</v>
      </c>
      <c r="S59" s="8">
        <v>39584.300000000003</v>
      </c>
      <c r="T59" s="8">
        <v>39091.47</v>
      </c>
      <c r="U59" s="30">
        <v>60495</v>
      </c>
    </row>
    <row r="60" spans="1:26" ht="12.75" customHeight="1" x14ac:dyDescent="0.25">
      <c r="D60" s="2" t="s">
        <v>9</v>
      </c>
      <c r="E60" s="5">
        <v>57759.56</v>
      </c>
      <c r="F60"/>
      <c r="J60" s="2" t="s">
        <v>9</v>
      </c>
      <c r="K60" s="30">
        <f>'Scott 5-29-19'!D9*0.9</f>
        <v>75854.4465187366</v>
      </c>
      <c r="L60" s="30">
        <v>59316.202878200951</v>
      </c>
      <c r="M60" s="8">
        <f>K60-L60</f>
        <v>16538.243640535649</v>
      </c>
      <c r="N60" s="9">
        <f>-1+(K60/L60)</f>
        <v>0.27881494158510178</v>
      </c>
      <c r="P60" s="30">
        <v>57759.56</v>
      </c>
      <c r="Q60" s="30">
        <v>35937.519999999997</v>
      </c>
      <c r="R60" s="30">
        <v>33333.94</v>
      </c>
      <c r="S60" s="8">
        <v>33483.57</v>
      </c>
      <c r="T60" s="8">
        <v>35659.57</v>
      </c>
      <c r="U60" s="30">
        <v>43091</v>
      </c>
    </row>
    <row r="61" spans="1:26" ht="13.8" thickBot="1" x14ac:dyDescent="0.3">
      <c r="D61" s="2" t="s">
        <v>10</v>
      </c>
      <c r="E61" s="5">
        <v>200779.49</v>
      </c>
      <c r="F61"/>
      <c r="J61" s="2" t="s">
        <v>10</v>
      </c>
      <c r="K61" s="30">
        <f>'Scott 5-29-19'!D10*0.9</f>
        <v>279764.04667539604</v>
      </c>
      <c r="L61" s="52">
        <v>242455.6966486632</v>
      </c>
      <c r="M61" s="8">
        <f>K61-L61</f>
        <v>37308.350026732835</v>
      </c>
      <c r="N61" s="9">
        <f>-1+(K61/L61)</f>
        <v>0.15387697852608295</v>
      </c>
      <c r="P61" s="52">
        <v>200779.49</v>
      </c>
      <c r="Q61" s="52">
        <v>121913.69</v>
      </c>
      <c r="R61" s="52">
        <v>107921.49</v>
      </c>
      <c r="S61" s="8">
        <v>104539.18</v>
      </c>
      <c r="T61" s="8">
        <v>116527.87</v>
      </c>
      <c r="U61" s="30">
        <v>116044</v>
      </c>
    </row>
    <row r="62" spans="1:26" ht="13.8" thickBot="1" x14ac:dyDescent="0.3">
      <c r="D62" s="3" t="s">
        <v>28</v>
      </c>
      <c r="E62" s="10">
        <f>SUM(E58:E61)</f>
        <v>425064</v>
      </c>
      <c r="F62"/>
      <c r="K62" s="57">
        <f>SUM(K58:K61)</f>
        <v>555013.32656089449</v>
      </c>
      <c r="L62" s="31">
        <f>SUM(L58:L61)</f>
        <v>461554.64877226995</v>
      </c>
      <c r="M62" s="11">
        <f>K62-L62</f>
        <v>93458.67778862454</v>
      </c>
      <c r="N62" s="9">
        <f>-1+(K62/L62)</f>
        <v>0.2024867001929751</v>
      </c>
      <c r="P62" s="31">
        <f>SUM(P58:P61)</f>
        <v>425064</v>
      </c>
      <c r="Q62" s="31">
        <f>SUM(Q58:Q61)</f>
        <v>267653</v>
      </c>
      <c r="R62" s="31">
        <f>SUM(R58:R61)</f>
        <v>234259</v>
      </c>
      <c r="S62" s="11">
        <f>SUM(S58:S61)</f>
        <v>210066</v>
      </c>
      <c r="T62" s="11">
        <f>SUM(T58:T61)</f>
        <v>220390</v>
      </c>
      <c r="U62" s="30">
        <v>265436</v>
      </c>
    </row>
    <row r="63" spans="1:26" x14ac:dyDescent="0.25">
      <c r="E63" s="6">
        <f>+E62+E53</f>
        <v>472293</v>
      </c>
      <c r="K63" s="32">
        <f>K62+K53</f>
        <v>616681.47395654942</v>
      </c>
      <c r="L63" s="32"/>
      <c r="P63" s="32"/>
      <c r="Q63" s="32"/>
      <c r="R63" s="32"/>
      <c r="U63" s="32"/>
    </row>
    <row r="64" spans="1:26" x14ac:dyDescent="0.25">
      <c r="J64" s="23" t="s">
        <v>26</v>
      </c>
      <c r="K64" s="13">
        <f>K13+K22+K32+K41+K53+K62</f>
        <v>1827685.5198759558</v>
      </c>
      <c r="L64" s="13">
        <f>L13+L22+L32+L41+L53+L62</f>
        <v>1631897.6641830297</v>
      </c>
      <c r="P64" s="13">
        <f t="shared" ref="P64:U64" si="24">P13+P22+P32+P41+P53+P62</f>
        <v>1512000</v>
      </c>
      <c r="Q64" s="13">
        <f t="shared" si="24"/>
        <v>1058610</v>
      </c>
      <c r="R64" s="13">
        <f t="shared" si="24"/>
        <v>973092.99</v>
      </c>
      <c r="S64" s="13">
        <f t="shared" si="24"/>
        <v>845539.99</v>
      </c>
      <c r="T64" s="13">
        <f t="shared" si="24"/>
        <v>745119</v>
      </c>
      <c r="U64" s="13">
        <f t="shared" si="24"/>
        <v>804617</v>
      </c>
    </row>
    <row r="65" spans="10:23" x14ac:dyDescent="0.25">
      <c r="J65" t="s">
        <v>32</v>
      </c>
      <c r="K65" s="38">
        <f>K64/L64</f>
        <v>1.119975571992097</v>
      </c>
      <c r="L65" s="38">
        <f>L64/P64</f>
        <v>1.0792973969464481</v>
      </c>
      <c r="P65" s="38">
        <f>P64/Q64</f>
        <v>1.428288038087681</v>
      </c>
      <c r="Q65" s="38">
        <f>Q64/R64</f>
        <v>1.0878816422261968</v>
      </c>
      <c r="R65" s="38">
        <f>R64/S64</f>
        <v>1.1508538939713544</v>
      </c>
      <c r="S65" s="38">
        <f>S64/T64</f>
        <v>1.1347717478684614</v>
      </c>
      <c r="T65" s="38">
        <f>T64/U64</f>
        <v>0.92605425935569341</v>
      </c>
    </row>
    <row r="66" spans="10:23" x14ac:dyDescent="0.25">
      <c r="L66" t="s">
        <v>106</v>
      </c>
      <c r="M66" t="s">
        <v>107</v>
      </c>
      <c r="W66" s="23" t="s">
        <v>108</v>
      </c>
    </row>
    <row r="67" spans="10:23" x14ac:dyDescent="0.25">
      <c r="L67" s="13">
        <f>L18+L37+L58</f>
        <v>341716.56270448206</v>
      </c>
      <c r="M67" s="13">
        <f>L67-'[5]20-21 MOU'!$B$65</f>
        <v>307510.10561017448</v>
      </c>
      <c r="W67" s="6">
        <f>Y8+Y27+K48</f>
        <v>17403.424417425678</v>
      </c>
    </row>
    <row r="68" spans="10:23" x14ac:dyDescent="0.25">
      <c r="L68" s="13">
        <f t="shared" ref="L68:L69" si="25">L19+L38+L59</f>
        <v>231887.68006739859</v>
      </c>
      <c r="M68" s="13">
        <f>L68-'[5]20-21 MOU'!$C$65</f>
        <v>195184.48386486695</v>
      </c>
      <c r="W68" s="6">
        <f t="shared" ref="W68:W70" si="26">Y9+Y28+K49</f>
        <v>11518.811723915946</v>
      </c>
    </row>
    <row r="69" spans="10:23" x14ac:dyDescent="0.25">
      <c r="L69" s="13">
        <f t="shared" si="25"/>
        <v>200668.66381688431</v>
      </c>
      <c r="M69" s="13">
        <f>L69-'[5]20-21 MOU'!$D$65</f>
        <v>187707.17035079843</v>
      </c>
      <c r="W69" s="6">
        <f t="shared" si="26"/>
        <v>10856.546878318211</v>
      </c>
    </row>
    <row r="70" spans="10:23" x14ac:dyDescent="0.25">
      <c r="L70" s="13">
        <f>L21+L40+L61</f>
        <v>694434.99117596168</v>
      </c>
      <c r="M70" s="13">
        <f>L70-'[5]20-21 MOU'!$E$65</f>
        <v>676965.36279758334</v>
      </c>
      <c r="W70" s="6">
        <f t="shared" si="26"/>
        <v>33328.637775378389</v>
      </c>
    </row>
    <row r="71" spans="10:23" x14ac:dyDescent="0.25">
      <c r="W71" s="122">
        <f>Y12+Y31+K52</f>
        <v>109661.13119255734</v>
      </c>
    </row>
    <row r="72" spans="10:23" x14ac:dyDescent="0.25">
      <c r="W72" s="6">
        <f>SUM(W67:W71)</f>
        <v>182768.55198759557</v>
      </c>
    </row>
  </sheetData>
  <mergeCells count="1">
    <mergeCell ref="T1:U1"/>
  </mergeCells>
  <pageMargins left="0.75" right="0.75" top="1" bottom="1" header="0.5" footer="0.5"/>
  <pageSetup scale="63" orientation="portrait" horizontalDpi="300" verticalDpi="3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N13"/>
  <sheetViews>
    <sheetView workbookViewId="0">
      <selection activeCell="G14" sqref="G14"/>
    </sheetView>
  </sheetViews>
  <sheetFormatPr defaultColWidth="9.109375" defaultRowHeight="14.4" x14ac:dyDescent="0.3"/>
  <cols>
    <col min="1" max="1" width="5.6640625" style="108" customWidth="1"/>
    <col min="2" max="2" width="11.5546875" style="108" bestFit="1" customWidth="1"/>
    <col min="3" max="3" width="7.88671875" style="108" bestFit="1" customWidth="1"/>
    <col min="4" max="4" width="13.6640625" style="108" bestFit="1" customWidth="1"/>
    <col min="5" max="5" width="3" style="108" customWidth="1"/>
    <col min="6" max="6" width="7.88671875" style="108" bestFit="1" customWidth="1"/>
    <col min="7" max="7" width="12.5546875" style="108" bestFit="1" customWidth="1"/>
    <col min="8" max="8" width="11.5546875" style="108" bestFit="1" customWidth="1"/>
    <col min="9" max="9" width="12.5546875" style="108" bestFit="1" customWidth="1"/>
    <col min="10" max="10" width="3" style="108" customWidth="1"/>
    <col min="11" max="11" width="6.88671875" style="108" bestFit="1" customWidth="1"/>
    <col min="12" max="12" width="12.5546875" style="108" bestFit="1" customWidth="1"/>
    <col min="13" max="13" width="11.5546875" style="108" bestFit="1" customWidth="1"/>
    <col min="14" max="14" width="12.5546875" style="108" bestFit="1" customWidth="1"/>
    <col min="15" max="16384" width="9.109375" style="108"/>
  </cols>
  <sheetData>
    <row r="1" spans="1:14" x14ac:dyDescent="0.3">
      <c r="A1" s="108" t="s">
        <v>90</v>
      </c>
      <c r="N1" s="109">
        <v>43580</v>
      </c>
    </row>
    <row r="2" spans="1:14" x14ac:dyDescent="0.3">
      <c r="A2" s="108" t="s">
        <v>91</v>
      </c>
    </row>
    <row r="4" spans="1:14" x14ac:dyDescent="0.3">
      <c r="H4" s="110">
        <v>0.15833794205044455</v>
      </c>
      <c r="I4" s="110">
        <v>0.84166206098310303</v>
      </c>
      <c r="M4" s="110">
        <v>0.17417834015087089</v>
      </c>
      <c r="N4" s="110">
        <v>0.82582165984912903</v>
      </c>
    </row>
    <row r="5" spans="1:14" x14ac:dyDescent="0.3">
      <c r="C5" s="108" t="s">
        <v>63</v>
      </c>
      <c r="D5" s="108" t="s">
        <v>92</v>
      </c>
      <c r="F5" s="108" t="s">
        <v>64</v>
      </c>
      <c r="G5" s="108" t="s">
        <v>64</v>
      </c>
      <c r="H5" s="108" t="s">
        <v>64</v>
      </c>
      <c r="I5" s="108" t="s">
        <v>64</v>
      </c>
      <c r="K5" s="108" t="s">
        <v>76</v>
      </c>
      <c r="L5" s="108" t="s">
        <v>76</v>
      </c>
      <c r="M5" s="108" t="s">
        <v>76</v>
      </c>
      <c r="N5" s="108" t="s">
        <v>76</v>
      </c>
    </row>
    <row r="6" spans="1:14" x14ac:dyDescent="0.3">
      <c r="A6" s="108" t="s">
        <v>61</v>
      </c>
      <c r="C6" s="108" t="s">
        <v>93</v>
      </c>
      <c r="D6" s="108" t="s">
        <v>78</v>
      </c>
      <c r="F6" s="108" t="s">
        <v>93</v>
      </c>
      <c r="G6" s="108" t="s">
        <v>94</v>
      </c>
      <c r="H6" s="108" t="s">
        <v>92</v>
      </c>
      <c r="I6" s="108" t="s">
        <v>95</v>
      </c>
      <c r="K6" s="108" t="s">
        <v>93</v>
      </c>
      <c r="L6" s="108" t="s">
        <v>94</v>
      </c>
      <c r="M6" s="108" t="s">
        <v>92</v>
      </c>
      <c r="N6" s="108" t="s">
        <v>95</v>
      </c>
    </row>
    <row r="7" spans="1:14" x14ac:dyDescent="0.3">
      <c r="A7" s="108">
        <v>56</v>
      </c>
      <c r="B7" s="111" t="s">
        <v>7</v>
      </c>
      <c r="C7" s="112">
        <v>0.199504855139747</v>
      </c>
      <c r="D7" s="113">
        <v>123030.94812906702</v>
      </c>
      <c r="F7" s="112">
        <v>0.19879011485780587</v>
      </c>
      <c r="G7" s="113">
        <v>120320.01692149177</v>
      </c>
      <c r="H7" s="113">
        <f>G7*H$4</f>
        <v>19051.223866823671</v>
      </c>
      <c r="I7" s="113">
        <f>G7-H7</f>
        <v>101268.7930546681</v>
      </c>
      <c r="K7" s="112">
        <v>0.31652831500432949</v>
      </c>
      <c r="L7" s="113">
        <v>191734.64538508313</v>
      </c>
      <c r="M7" s="113">
        <f t="shared" ref="M7:M10" si="0">L7*M$4</f>
        <v>33396.02228258962</v>
      </c>
      <c r="N7" s="113">
        <f t="shared" ref="N7:N10" si="1">L7-M7</f>
        <v>158338.62310249353</v>
      </c>
    </row>
    <row r="8" spans="1:14" x14ac:dyDescent="0.3">
      <c r="A8" s="108">
        <v>58</v>
      </c>
      <c r="B8" s="111" t="s">
        <v>8</v>
      </c>
      <c r="C8" s="112">
        <v>0.15975648837122686</v>
      </c>
      <c r="D8" s="113">
        <v>98518.866722890511</v>
      </c>
      <c r="F8" s="112">
        <v>0.15780534727683959</v>
      </c>
      <c r="G8" s="113">
        <v>95513.512169519512</v>
      </c>
      <c r="H8" s="113">
        <f>G8*H$4</f>
        <v>15123.412954931811</v>
      </c>
      <c r="I8" s="113">
        <f t="shared" ref="I8:I10" si="2">G8-H8</f>
        <v>80390.099214587695</v>
      </c>
      <c r="K8" s="112">
        <v>0.1550789615448282</v>
      </c>
      <c r="L8" s="113">
        <v>93937.914205488618</v>
      </c>
      <c r="M8" s="113">
        <f t="shared" si="0"/>
        <v>16361.949973546924</v>
      </c>
      <c r="N8" s="113">
        <f t="shared" si="1"/>
        <v>77575.964231941689</v>
      </c>
    </row>
    <row r="9" spans="1:14" x14ac:dyDescent="0.3">
      <c r="A9" s="108">
        <v>61</v>
      </c>
      <c r="B9" s="111" t="s">
        <v>9</v>
      </c>
      <c r="C9" s="112">
        <v>0.13667139668296607</v>
      </c>
      <c r="D9" s="113">
        <v>84282.718354151773</v>
      </c>
      <c r="F9" s="112">
        <v>0.15356909708883132</v>
      </c>
      <c r="G9" s="113">
        <v>92949.472731897476</v>
      </c>
      <c r="H9" s="113">
        <f>G9*H$4</f>
        <v>14717.428227042557</v>
      </c>
      <c r="I9" s="113">
        <f t="shared" si="2"/>
        <v>78232.044504854915</v>
      </c>
      <c r="K9" s="112">
        <v>0.15548105761023931</v>
      </c>
      <c r="L9" s="113">
        <v>94181.480871906067</v>
      </c>
      <c r="M9" s="113">
        <f t="shared" si="0"/>
        <v>16404.374011219596</v>
      </c>
      <c r="N9" s="113">
        <f t="shared" si="1"/>
        <v>77777.106860686472</v>
      </c>
    </row>
    <row r="10" spans="1:14" x14ac:dyDescent="0.3">
      <c r="A10" s="108">
        <v>84</v>
      </c>
      <c r="B10" s="111" t="s">
        <v>10</v>
      </c>
      <c r="C10" s="112">
        <v>0.50406725980606015</v>
      </c>
      <c r="D10" s="113">
        <v>310848.94075044</v>
      </c>
      <c r="F10" s="112">
        <v>0.4898354407765233</v>
      </c>
      <c r="G10" s="113">
        <v>296478.56768499367</v>
      </c>
      <c r="H10" s="113">
        <f>G10*H$4</f>
        <v>46943.806269305329</v>
      </c>
      <c r="I10" s="113">
        <f t="shared" si="2"/>
        <v>249534.76141568835</v>
      </c>
      <c r="K10" s="112">
        <v>0.37291166584060303</v>
      </c>
      <c r="L10" s="113">
        <v>225888.43594902611</v>
      </c>
      <c r="M10" s="113">
        <f t="shared" si="0"/>
        <v>39344.872832877678</v>
      </c>
      <c r="N10" s="113">
        <f t="shared" si="1"/>
        <v>186543.56311614843</v>
      </c>
    </row>
    <row r="11" spans="1:14" x14ac:dyDescent="0.3">
      <c r="B11" s="108" t="s">
        <v>73</v>
      </c>
      <c r="C11" s="114">
        <f>SUM(C7:C10)</f>
        <v>1</v>
      </c>
      <c r="D11" s="115">
        <f>SUM(D7:D10)</f>
        <v>616681.47395654931</v>
      </c>
      <c r="F11" s="114">
        <f>SUM(F7:F10)</f>
        <v>1</v>
      </c>
      <c r="G11" s="113">
        <f>SUM(G7:G10)</f>
        <v>605261.56950790249</v>
      </c>
      <c r="H11" s="113">
        <f>SUM(H7:H10)</f>
        <v>95835.871318103367</v>
      </c>
      <c r="I11" s="113">
        <f>SUM(I7:I10)</f>
        <v>509425.69818979909</v>
      </c>
      <c r="K11" s="114">
        <f>SUM(K7:K10)</f>
        <v>1</v>
      </c>
      <c r="L11" s="113">
        <f>SUM(L7:L10)</f>
        <v>605742.47641150397</v>
      </c>
      <c r="M11" s="113">
        <f>SUM(M7:M10)</f>
        <v>105507.21910023381</v>
      </c>
      <c r="N11" s="113">
        <f>SUM(N7:N10)</f>
        <v>500235.25731127011</v>
      </c>
    </row>
    <row r="12" spans="1:14" x14ac:dyDescent="0.3">
      <c r="D12" s="116"/>
      <c r="F12" s="116"/>
    </row>
    <row r="13" spans="1:14" x14ac:dyDescent="0.3">
      <c r="A13" s="108" t="s">
        <v>96</v>
      </c>
      <c r="D13" s="116"/>
      <c r="F13" s="116"/>
      <c r="G13" s="117">
        <f>D11+G11+L11</f>
        <v>1827685.5198759558</v>
      </c>
    </row>
  </sheetData>
  <pageMargins left="0.45" right="0.45" top="0.75" bottom="0.75" header="0.3" footer="0.3"/>
  <pageSetup scale="97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Q19"/>
  <sheetViews>
    <sheetView workbookViewId="0">
      <selection activeCell="D9" sqref="D9"/>
    </sheetView>
  </sheetViews>
  <sheetFormatPr defaultColWidth="9.109375" defaultRowHeight="14.4" x14ac:dyDescent="0.3"/>
  <cols>
    <col min="1" max="1" width="3" style="62" bestFit="1" customWidth="1"/>
    <col min="2" max="2" width="11.5546875" style="62" bestFit="1" customWidth="1"/>
    <col min="3" max="3" width="7" style="62" bestFit="1" customWidth="1"/>
    <col min="4" max="4" width="10" style="62" customWidth="1"/>
    <col min="5" max="5" width="10.88671875" style="62" customWidth="1"/>
    <col min="6" max="6" width="13.88671875" style="62" customWidth="1"/>
    <col min="7" max="7" width="9.88671875" style="62" customWidth="1"/>
    <col min="8" max="8" width="2.88671875" style="62" customWidth="1"/>
    <col min="9" max="9" width="10" style="62" customWidth="1"/>
    <col min="10" max="10" width="10.88671875" style="62" customWidth="1"/>
    <col min="11" max="11" width="13.88671875" style="62" customWidth="1"/>
    <col min="12" max="12" width="9.88671875" style="62" customWidth="1"/>
    <col min="13" max="13" width="3" style="62" customWidth="1"/>
    <col min="14" max="14" width="10" style="62" customWidth="1"/>
    <col min="15" max="15" width="10.88671875" style="62" customWidth="1"/>
    <col min="16" max="16" width="13.88671875" style="62" customWidth="1"/>
    <col min="17" max="17" width="9.88671875" style="62" customWidth="1"/>
    <col min="18" max="16384" width="9.109375" style="62"/>
  </cols>
  <sheetData>
    <row r="1" spans="1:17" x14ac:dyDescent="0.3">
      <c r="A1" s="62" t="s">
        <v>67</v>
      </c>
      <c r="Q1" s="71">
        <v>43230</v>
      </c>
    </row>
    <row r="2" spans="1:17" x14ac:dyDescent="0.3">
      <c r="A2" s="62" t="s">
        <v>65</v>
      </c>
    </row>
    <row r="3" spans="1:17" x14ac:dyDescent="0.3">
      <c r="D3" s="179" t="s">
        <v>64</v>
      </c>
      <c r="E3" s="179"/>
      <c r="F3" s="179"/>
      <c r="G3" s="179"/>
      <c r="I3" s="179" t="s">
        <v>63</v>
      </c>
      <c r="J3" s="179"/>
      <c r="K3" s="179"/>
      <c r="L3" s="179"/>
      <c r="N3" s="179" t="s">
        <v>62</v>
      </c>
      <c r="O3" s="179"/>
      <c r="P3" s="179"/>
      <c r="Q3" s="179"/>
    </row>
    <row r="4" spans="1:17" s="69" customFormat="1" ht="30" customHeight="1" x14ac:dyDescent="0.3">
      <c r="A4" s="69" t="s">
        <v>61</v>
      </c>
      <c r="B4" s="69" t="s">
        <v>2</v>
      </c>
      <c r="C4" s="69" t="s">
        <v>60</v>
      </c>
      <c r="D4" s="69" t="s">
        <v>59</v>
      </c>
      <c r="E4" s="69" t="s">
        <v>58</v>
      </c>
      <c r="F4" s="69" t="s">
        <v>57</v>
      </c>
      <c r="G4" s="69" t="s">
        <v>56</v>
      </c>
      <c r="I4" s="69" t="s">
        <v>59</v>
      </c>
      <c r="J4" s="69" t="s">
        <v>58</v>
      </c>
      <c r="K4" s="69" t="s">
        <v>57</v>
      </c>
      <c r="L4" s="69" t="s">
        <v>56</v>
      </c>
      <c r="N4" s="69" t="s">
        <v>59</v>
      </c>
      <c r="O4" s="69" t="s">
        <v>58</v>
      </c>
      <c r="P4" s="69" t="s">
        <v>57</v>
      </c>
      <c r="Q4" s="69" t="s">
        <v>56</v>
      </c>
    </row>
    <row r="5" spans="1:17" s="66" customFormat="1" ht="16.5" customHeight="1" x14ac:dyDescent="0.3">
      <c r="A5" s="70">
        <v>56</v>
      </c>
      <c r="B5" s="69" t="s">
        <v>7</v>
      </c>
      <c r="C5" s="69" t="s">
        <v>5</v>
      </c>
      <c r="D5" s="64">
        <v>94419.669946921756</v>
      </c>
      <c r="E5" s="68">
        <v>0.18771775637760665</v>
      </c>
      <c r="F5" s="64">
        <v>-3663.2405396413128</v>
      </c>
      <c r="G5" s="67">
        <v>90756.429407280448</v>
      </c>
      <c r="H5" s="69"/>
      <c r="I5" s="64">
        <v>96681.148427070977</v>
      </c>
      <c r="J5" s="68">
        <v>0.18783994723704944</v>
      </c>
      <c r="K5" s="64">
        <v>-3885.1339261187909</v>
      </c>
      <c r="L5" s="67">
        <v>92796.01450095218</v>
      </c>
      <c r="M5" s="69"/>
      <c r="N5" s="64">
        <v>174033.4760780677</v>
      </c>
      <c r="O5" s="68">
        <v>0.30675755809081201</v>
      </c>
      <c r="P5" s="64">
        <v>10385.259992564816</v>
      </c>
      <c r="Q5" s="67">
        <v>184418.73607063253</v>
      </c>
    </row>
    <row r="6" spans="1:17" s="66" customFormat="1" ht="16.5" customHeight="1" x14ac:dyDescent="0.3">
      <c r="A6" s="70">
        <v>58</v>
      </c>
      <c r="B6" s="69" t="s">
        <v>8</v>
      </c>
      <c r="C6" s="69" t="s">
        <v>5</v>
      </c>
      <c r="D6" s="64">
        <v>78680.615265703585</v>
      </c>
      <c r="E6" s="68">
        <v>0.15642660662116692</v>
      </c>
      <c r="F6" s="64">
        <v>-3052.6056666717168</v>
      </c>
      <c r="G6" s="67">
        <v>75628.009599031866</v>
      </c>
      <c r="H6" s="69"/>
      <c r="I6" s="64">
        <v>81499.527807277758</v>
      </c>
      <c r="J6" s="68">
        <v>0.15834386798488809</v>
      </c>
      <c r="K6" s="64">
        <v>-3275.0601911350227</v>
      </c>
      <c r="L6" s="67">
        <v>78224.467616142734</v>
      </c>
      <c r="M6" s="69"/>
      <c r="N6" s="64">
        <v>90033.71781756953</v>
      </c>
      <c r="O6" s="68">
        <v>0.15869661427187595</v>
      </c>
      <c r="P6" s="64">
        <v>5372.6650108008143</v>
      </c>
      <c r="Q6" s="67">
        <v>95406.382828370348</v>
      </c>
    </row>
    <row r="7" spans="1:17" s="66" customFormat="1" ht="16.5" customHeight="1" x14ac:dyDescent="0.3">
      <c r="A7" s="70">
        <v>61</v>
      </c>
      <c r="B7" s="69" t="s">
        <v>9</v>
      </c>
      <c r="C7" s="69" t="s">
        <v>5</v>
      </c>
      <c r="D7" s="64">
        <v>73526.416003932041</v>
      </c>
      <c r="E7" s="68">
        <v>0.14617943331621072</v>
      </c>
      <c r="F7" s="64">
        <v>-2852.6359813749464</v>
      </c>
      <c r="G7" s="67">
        <v>70673.780022557097</v>
      </c>
      <c r="H7" s="69"/>
      <c r="I7" s="64">
        <v>66146.071402608301</v>
      </c>
      <c r="J7" s="68">
        <v>0.12851393228511807</v>
      </c>
      <c r="K7" s="64">
        <v>-2658.081231622944</v>
      </c>
      <c r="L7" s="67">
        <v>63487.990170985358</v>
      </c>
      <c r="M7" s="69"/>
      <c r="N7" s="64">
        <v>76919.230176314464</v>
      </c>
      <c r="O7" s="68">
        <v>0.13558055467746252</v>
      </c>
      <c r="P7" s="64">
        <v>4590.0721045796181</v>
      </c>
      <c r="Q7" s="67">
        <v>81509.302280894088</v>
      </c>
    </row>
    <row r="8" spans="1:17" s="66" customFormat="1" ht="16.5" customHeight="1" x14ac:dyDescent="0.3">
      <c r="A8" s="70">
        <v>84</v>
      </c>
      <c r="B8" s="69" t="s">
        <v>10</v>
      </c>
      <c r="C8" s="69" t="s">
        <v>5</v>
      </c>
      <c r="D8" s="64">
        <v>256360.7186681676</v>
      </c>
      <c r="E8" s="68">
        <v>0.50967620368501565</v>
      </c>
      <c r="F8" s="64">
        <v>-9946.1370488240063</v>
      </c>
      <c r="G8" s="67">
        <v>246414.5816193436</v>
      </c>
      <c r="H8" s="69"/>
      <c r="I8" s="64">
        <v>270372.86684420402</v>
      </c>
      <c r="J8" s="68">
        <v>0.52530225249294438</v>
      </c>
      <c r="K8" s="64">
        <v>-10864.939181714259</v>
      </c>
      <c r="L8" s="67">
        <v>259507.92766248976</v>
      </c>
      <c r="M8" s="69"/>
      <c r="N8" s="64">
        <v>226345.89256667247</v>
      </c>
      <c r="O8" s="68">
        <v>0.39896527295984952</v>
      </c>
      <c r="P8" s="64">
        <v>13506.947028395738</v>
      </c>
      <c r="Q8" s="67">
        <v>239852.83959506822</v>
      </c>
    </row>
    <row r="9" spans="1:17" x14ac:dyDescent="0.3">
      <c r="D9" s="64">
        <f>SUM(D5:D8)</f>
        <v>502987.41988472501</v>
      </c>
      <c r="E9" s="65">
        <f>SUM(E5:E8)</f>
        <v>1</v>
      </c>
      <c r="F9" s="64">
        <f>SUM(F5:F8)</f>
        <v>-19514.619236511982</v>
      </c>
      <c r="G9" s="63">
        <f>SUM(G5:G8)</f>
        <v>483472.80064821301</v>
      </c>
      <c r="I9" s="64">
        <f>SUM(I5:I8)</f>
        <v>514699.61448116106</v>
      </c>
      <c r="J9" s="65">
        <f>SUM(J5:J8)</f>
        <v>1</v>
      </c>
      <c r="K9" s="64">
        <f>SUM(K5:K8)</f>
        <v>-20683.214530591016</v>
      </c>
      <c r="L9" s="63">
        <f>SUM(L5:L8)</f>
        <v>494016.39995057002</v>
      </c>
      <c r="N9" s="64">
        <f>SUM(N5:N8)</f>
        <v>567332.31663862418</v>
      </c>
      <c r="O9" s="65">
        <f>SUM(O5:O8)</f>
        <v>1</v>
      </c>
      <c r="P9" s="64">
        <f>SUM(P5:P8)</f>
        <v>33854.944136340986</v>
      </c>
      <c r="Q9" s="63">
        <f>SUM(Q5:Q8)</f>
        <v>601187.26077496517</v>
      </c>
    </row>
    <row r="11" spans="1:17" x14ac:dyDescent="0.3">
      <c r="A11" s="62" t="s">
        <v>66</v>
      </c>
    </row>
    <row r="12" spans="1:17" x14ac:dyDescent="0.3">
      <c r="A12" s="62" t="s">
        <v>65</v>
      </c>
    </row>
    <row r="13" spans="1:17" x14ac:dyDescent="0.3">
      <c r="D13" s="179" t="s">
        <v>64</v>
      </c>
      <c r="E13" s="179"/>
      <c r="F13" s="179"/>
      <c r="G13" s="179"/>
      <c r="I13" s="179" t="s">
        <v>63</v>
      </c>
      <c r="J13" s="179"/>
      <c r="K13" s="179"/>
      <c r="L13" s="179"/>
      <c r="N13" s="179" t="s">
        <v>62</v>
      </c>
      <c r="O13" s="179"/>
      <c r="P13" s="179"/>
      <c r="Q13" s="179"/>
    </row>
    <row r="14" spans="1:17" s="69" customFormat="1" ht="30" customHeight="1" x14ac:dyDescent="0.3">
      <c r="A14" s="69" t="s">
        <v>61</v>
      </c>
      <c r="B14" s="69" t="s">
        <v>2</v>
      </c>
      <c r="C14" s="69" t="s">
        <v>60</v>
      </c>
      <c r="D14" s="69" t="s">
        <v>59</v>
      </c>
      <c r="E14" s="69" t="s">
        <v>58</v>
      </c>
      <c r="F14" s="69" t="s">
        <v>57</v>
      </c>
      <c r="G14" s="69" t="s">
        <v>56</v>
      </c>
      <c r="I14" s="69" t="s">
        <v>59</v>
      </c>
      <c r="J14" s="69" t="s">
        <v>58</v>
      </c>
      <c r="K14" s="69" t="s">
        <v>57</v>
      </c>
      <c r="L14" s="69" t="s">
        <v>56</v>
      </c>
      <c r="N14" s="69" t="s">
        <v>59</v>
      </c>
      <c r="O14" s="69" t="s">
        <v>58</v>
      </c>
      <c r="P14" s="69" t="s">
        <v>57</v>
      </c>
      <c r="Q14" s="69" t="s">
        <v>56</v>
      </c>
    </row>
    <row r="15" spans="1:17" s="66" customFormat="1" ht="16.5" customHeight="1" x14ac:dyDescent="0.3">
      <c r="A15" s="70">
        <v>7</v>
      </c>
      <c r="B15" s="69" t="s">
        <v>55</v>
      </c>
      <c r="C15" s="69" t="s">
        <v>51</v>
      </c>
      <c r="D15" s="64">
        <v>309071.77560627752</v>
      </c>
      <c r="E15" s="68">
        <v>0.36679775778586432</v>
      </c>
      <c r="F15" s="64">
        <v>-10652.835645626177</v>
      </c>
      <c r="G15" s="67">
        <v>298418.93996065133</v>
      </c>
      <c r="H15" s="69"/>
      <c r="I15" s="64">
        <v>310085.25181780866</v>
      </c>
      <c r="J15" s="68">
        <v>0.35302635795180132</v>
      </c>
      <c r="K15" s="64">
        <v>-10733.44528118575</v>
      </c>
      <c r="L15" s="67">
        <v>299351.80653662293</v>
      </c>
      <c r="M15" s="69"/>
      <c r="N15" s="64">
        <v>358652.0143686037</v>
      </c>
      <c r="O15" s="68">
        <v>0.4041172348862771</v>
      </c>
      <c r="P15" s="64">
        <v>-4254.1516688463798</v>
      </c>
      <c r="Q15" s="67">
        <v>354397.86269975733</v>
      </c>
    </row>
    <row r="16" spans="1:17" s="66" customFormat="1" ht="16.5" customHeight="1" x14ac:dyDescent="0.3">
      <c r="A16" s="70">
        <v>10</v>
      </c>
      <c r="B16" s="69" t="s">
        <v>54</v>
      </c>
      <c r="C16" s="69" t="s">
        <v>51</v>
      </c>
      <c r="D16" s="64">
        <v>107254.27424511395</v>
      </c>
      <c r="E16" s="68">
        <v>0.12728637944660945</v>
      </c>
      <c r="F16" s="64">
        <v>-3696.7534598811458</v>
      </c>
      <c r="G16" s="67">
        <v>103557.5207852328</v>
      </c>
      <c r="H16" s="69"/>
      <c r="I16" s="64">
        <v>118562.82868227207</v>
      </c>
      <c r="J16" s="68">
        <v>0.13498160055273559</v>
      </c>
      <c r="K16" s="64">
        <v>-4103.99277806182</v>
      </c>
      <c r="L16" s="67">
        <v>114458.83590421025</v>
      </c>
      <c r="M16" s="69"/>
      <c r="N16" s="64">
        <v>95416.755368921455</v>
      </c>
      <c r="O16" s="68">
        <v>0.10751244603879287</v>
      </c>
      <c r="P16" s="64">
        <v>-1131.7860567525586</v>
      </c>
      <c r="Q16" s="67">
        <v>94284.969312168891</v>
      </c>
    </row>
    <row r="17" spans="1:17" s="66" customFormat="1" ht="16.5" customHeight="1" x14ac:dyDescent="0.3">
      <c r="A17" s="70">
        <v>34</v>
      </c>
      <c r="B17" s="69" t="s">
        <v>53</v>
      </c>
      <c r="C17" s="69" t="s">
        <v>51</v>
      </c>
      <c r="D17" s="64">
        <v>68266.282962264726</v>
      </c>
      <c r="E17" s="68">
        <v>8.1016519459971903E-2</v>
      </c>
      <c r="F17" s="64">
        <v>-2352.9469525590871</v>
      </c>
      <c r="G17" s="67">
        <v>65913.336009705643</v>
      </c>
      <c r="H17" s="69"/>
      <c r="I17" s="64">
        <v>70255.68804468849</v>
      </c>
      <c r="J17" s="68">
        <v>7.9984809114323263E-2</v>
      </c>
      <c r="K17" s="64">
        <v>-2431.8653625061297</v>
      </c>
      <c r="L17" s="67">
        <v>67823.822682182363</v>
      </c>
      <c r="M17" s="69"/>
      <c r="N17" s="64">
        <v>59991.141475942437</v>
      </c>
      <c r="O17" s="68">
        <v>6.7596035264458773E-2</v>
      </c>
      <c r="P17" s="64">
        <v>-711.58505850070856</v>
      </c>
      <c r="Q17" s="67">
        <v>59279.55641744173</v>
      </c>
    </row>
    <row r="18" spans="1:17" s="66" customFormat="1" ht="16.5" customHeight="1" x14ac:dyDescent="0.3">
      <c r="A18" s="70">
        <v>41</v>
      </c>
      <c r="B18" s="69" t="s">
        <v>52</v>
      </c>
      <c r="C18" s="69" t="s">
        <v>51</v>
      </c>
      <c r="D18" s="64">
        <v>358029.43639223115</v>
      </c>
      <c r="E18" s="68">
        <v>0.42489934330755436</v>
      </c>
      <c r="F18" s="64">
        <v>-12340.268646986555</v>
      </c>
      <c r="G18" s="67">
        <v>345689.16774524457</v>
      </c>
      <c r="H18" s="69"/>
      <c r="I18" s="64">
        <v>379459.12089178833</v>
      </c>
      <c r="J18" s="68">
        <v>0.43200723238113981</v>
      </c>
      <c r="K18" s="64">
        <v>-13134.78692282954</v>
      </c>
      <c r="L18" s="67">
        <v>366324.33396895882</v>
      </c>
      <c r="M18" s="69"/>
      <c r="N18" s="64">
        <v>373435.06154989952</v>
      </c>
      <c r="O18" s="68">
        <v>0.42077428381047127</v>
      </c>
      <c r="P18" s="64">
        <v>-4429.5008159790377</v>
      </c>
      <c r="Q18" s="67">
        <v>369005.56073392049</v>
      </c>
    </row>
    <row r="19" spans="1:17" x14ac:dyDescent="0.3">
      <c r="D19" s="64">
        <f>SUM(D15:D18)</f>
        <v>842621.76920588734</v>
      </c>
      <c r="E19" s="65">
        <f>SUM(E15:E18)</f>
        <v>1</v>
      </c>
      <c r="F19" s="64">
        <f>SUM(F15:F18)</f>
        <v>-29042.804705052964</v>
      </c>
      <c r="G19" s="63">
        <f>SUM(G15:G18)</f>
        <v>813578.96450083435</v>
      </c>
      <c r="I19" s="64">
        <f>SUM(I15:I18)</f>
        <v>878362.88943655754</v>
      </c>
      <c r="J19" s="65">
        <f>SUM(J15:J18)</f>
        <v>1</v>
      </c>
      <c r="K19" s="64">
        <f>SUM(K15:K18)</f>
        <v>-30404.090344583237</v>
      </c>
      <c r="L19" s="63">
        <f>SUM(L15:L18)</f>
        <v>847958.79909197427</v>
      </c>
      <c r="N19" s="64">
        <f>SUM(N15:N18)</f>
        <v>887494.97276336711</v>
      </c>
      <c r="O19" s="65">
        <f>SUM(O15:O18)</f>
        <v>1</v>
      </c>
      <c r="P19" s="64">
        <f>SUM(P15:P18)</f>
        <v>-10527.023600078684</v>
      </c>
      <c r="Q19" s="63">
        <f>SUM(Q15:Q18)</f>
        <v>876967.94916328846</v>
      </c>
    </row>
  </sheetData>
  <mergeCells count="6">
    <mergeCell ref="D3:G3"/>
    <mergeCell ref="I3:L3"/>
    <mergeCell ref="N3:Q3"/>
    <mergeCell ref="D13:G13"/>
    <mergeCell ref="I13:L13"/>
    <mergeCell ref="N13:Q13"/>
  </mergeCells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Q23"/>
  <sheetViews>
    <sheetView workbookViewId="0">
      <selection activeCell="G5" sqref="G5"/>
    </sheetView>
  </sheetViews>
  <sheetFormatPr defaultColWidth="9.109375" defaultRowHeight="14.4" x14ac:dyDescent="0.3"/>
  <cols>
    <col min="1" max="1" width="11.88671875" style="62" customWidth="1"/>
    <col min="2" max="2" width="11.5546875" style="62" bestFit="1" customWidth="1"/>
    <col min="3" max="3" width="14.44140625" style="62" customWidth="1"/>
    <col min="4" max="4" width="10" style="62" customWidth="1"/>
    <col min="5" max="5" width="10.88671875" style="62" customWidth="1"/>
    <col min="6" max="6" width="13.88671875" style="62" customWidth="1"/>
    <col min="7" max="7" width="9.88671875" style="62" customWidth="1"/>
    <col min="8" max="8" width="12.33203125" style="62" customWidth="1"/>
    <col min="9" max="9" width="10" style="62" customWidth="1"/>
    <col min="10" max="10" width="10.88671875" style="62" customWidth="1"/>
    <col min="11" max="11" width="13.88671875" style="62" customWidth="1"/>
    <col min="12" max="12" width="9.88671875" style="62" customWidth="1"/>
    <col min="13" max="13" width="9.6640625" style="62" customWidth="1"/>
    <col min="14" max="14" width="10" style="62" customWidth="1"/>
    <col min="15" max="15" width="10.88671875" style="62" customWidth="1"/>
    <col min="16" max="16" width="13.88671875" style="62" customWidth="1"/>
    <col min="17" max="17" width="9.88671875" style="62" customWidth="1"/>
    <col min="18" max="16384" width="9.109375" style="62"/>
  </cols>
  <sheetData>
    <row r="1" spans="1:17" x14ac:dyDescent="0.3">
      <c r="A1" s="62" t="s">
        <v>67</v>
      </c>
      <c r="Q1" s="71">
        <v>43230</v>
      </c>
    </row>
    <row r="2" spans="1:17" x14ac:dyDescent="0.3">
      <c r="A2" s="62" t="s">
        <v>65</v>
      </c>
      <c r="F2" s="86" t="s">
        <v>74</v>
      </c>
      <c r="G2" s="86"/>
      <c r="H2" s="86"/>
      <c r="I2" s="86"/>
    </row>
    <row r="3" spans="1:17" x14ac:dyDescent="0.3">
      <c r="D3" s="179" t="s">
        <v>64</v>
      </c>
      <c r="E3" s="179"/>
      <c r="F3" s="179"/>
      <c r="G3" s="179"/>
      <c r="I3" s="179" t="s">
        <v>63</v>
      </c>
      <c r="J3" s="179"/>
      <c r="K3" s="179"/>
      <c r="L3" s="179"/>
      <c r="N3" s="179" t="s">
        <v>62</v>
      </c>
      <c r="O3" s="179"/>
      <c r="P3" s="179"/>
      <c r="Q3" s="179"/>
    </row>
    <row r="4" spans="1:17" s="69" customFormat="1" ht="30" customHeight="1" x14ac:dyDescent="0.3">
      <c r="A4" s="69" t="s">
        <v>61</v>
      </c>
      <c r="B4" s="69" t="s">
        <v>2</v>
      </c>
      <c r="C4" s="69" t="s">
        <v>60</v>
      </c>
      <c r="D4" s="69" t="s">
        <v>59</v>
      </c>
      <c r="E4" s="69" t="s">
        <v>58</v>
      </c>
      <c r="F4" s="69" t="s">
        <v>57</v>
      </c>
      <c r="G4" s="69" t="s">
        <v>56</v>
      </c>
      <c r="I4" s="69" t="s">
        <v>59</v>
      </c>
      <c r="J4" s="69" t="s">
        <v>58</v>
      </c>
      <c r="K4" s="69" t="s">
        <v>57</v>
      </c>
      <c r="L4" s="69" t="s">
        <v>56</v>
      </c>
      <c r="N4" s="69" t="s">
        <v>59</v>
      </c>
      <c r="O4" s="69" t="s">
        <v>58</v>
      </c>
      <c r="P4" s="69" t="s">
        <v>57</v>
      </c>
      <c r="Q4" s="69" t="s">
        <v>56</v>
      </c>
    </row>
    <row r="5" spans="1:17" s="66" customFormat="1" x14ac:dyDescent="0.3">
      <c r="A5" s="70">
        <v>56</v>
      </c>
      <c r="B5" s="69" t="s">
        <v>7</v>
      </c>
      <c r="C5" s="69" t="s">
        <v>5</v>
      </c>
      <c r="D5" s="64"/>
      <c r="E5" s="68"/>
      <c r="F5" s="64"/>
      <c r="G5" s="67">
        <v>94499.811414673459</v>
      </c>
      <c r="H5" s="69"/>
      <c r="I5" s="64"/>
      <c r="J5" s="68"/>
      <c r="K5" s="64"/>
      <c r="L5" s="67">
        <v>96331.556524886735</v>
      </c>
      <c r="M5" s="69"/>
      <c r="N5" s="64"/>
      <c r="O5" s="68"/>
      <c r="P5" s="64"/>
      <c r="Q5" s="67">
        <v>188853.70173208654</v>
      </c>
    </row>
    <row r="6" spans="1:17" s="66" customFormat="1" x14ac:dyDescent="0.3">
      <c r="A6" s="70">
        <v>58</v>
      </c>
      <c r="B6" s="69" t="s">
        <v>8</v>
      </c>
      <c r="C6" s="69" t="s">
        <v>5</v>
      </c>
      <c r="D6" s="64"/>
      <c r="E6" s="68"/>
      <c r="F6" s="64"/>
      <c r="G6" s="67">
        <v>78747.397748575473</v>
      </c>
      <c r="H6" s="69"/>
      <c r="I6" s="64"/>
      <c r="J6" s="68"/>
      <c r="K6" s="64"/>
      <c r="L6" s="67">
        <v>81204.831525564121</v>
      </c>
      <c r="M6" s="69"/>
      <c r="N6" s="64"/>
      <c r="O6" s="68"/>
      <c r="P6" s="64"/>
      <c r="Q6" s="67">
        <v>97700.748578525483</v>
      </c>
    </row>
    <row r="7" spans="1:17" s="66" customFormat="1" x14ac:dyDescent="0.3">
      <c r="A7" s="70">
        <v>61</v>
      </c>
      <c r="B7" s="69" t="s">
        <v>9</v>
      </c>
      <c r="C7" s="69" t="s">
        <v>5</v>
      </c>
      <c r="D7" s="64"/>
      <c r="E7" s="68"/>
      <c r="F7" s="64"/>
      <c r="G7" s="67">
        <v>73588.823708813768</v>
      </c>
      <c r="H7" s="69"/>
      <c r="I7" s="64"/>
      <c r="J7" s="68"/>
      <c r="K7" s="64"/>
      <c r="L7" s="67">
        <v>65906.892086889944</v>
      </c>
      <c r="M7" s="69"/>
      <c r="N7" s="64"/>
      <c r="O7" s="68"/>
      <c r="P7" s="64"/>
      <c r="Q7" s="67">
        <v>83469.466223056603</v>
      </c>
    </row>
    <row r="8" spans="1:17" s="66" customFormat="1" x14ac:dyDescent="0.3">
      <c r="A8" s="70">
        <v>84</v>
      </c>
      <c r="B8" s="69" t="s">
        <v>10</v>
      </c>
      <c r="C8" s="69" t="s">
        <v>5</v>
      </c>
      <c r="D8" s="64"/>
      <c r="E8" s="68"/>
      <c r="F8" s="64"/>
      <c r="G8" s="67">
        <v>256578.31235685019</v>
      </c>
      <c r="H8" s="69"/>
      <c r="I8" s="64"/>
      <c r="J8" s="68"/>
      <c r="K8" s="64"/>
      <c r="L8" s="67">
        <v>269395.21849851467</v>
      </c>
      <c r="M8" s="69"/>
      <c r="N8" s="64"/>
      <c r="O8" s="68"/>
      <c r="P8" s="64"/>
      <c r="Q8" s="67">
        <v>245620.90378459255</v>
      </c>
    </row>
    <row r="9" spans="1:17" x14ac:dyDescent="0.3">
      <c r="D9" s="64">
        <f>SUM(D5:D8)</f>
        <v>0</v>
      </c>
      <c r="E9" s="65">
        <f>SUM(E5:E8)</f>
        <v>0</v>
      </c>
      <c r="F9" s="64">
        <f>SUM(F5:F8)</f>
        <v>0</v>
      </c>
      <c r="G9" s="63">
        <f>SUM(G5:G8)</f>
        <v>503414.34522891289</v>
      </c>
      <c r="I9" s="64">
        <f>SUM(I5:I8)</f>
        <v>0</v>
      </c>
      <c r="J9" s="65">
        <f>SUM(J5:J8)</f>
        <v>0</v>
      </c>
      <c r="K9" s="64">
        <f>SUM(K5:K8)</f>
        <v>0</v>
      </c>
      <c r="L9" s="63">
        <f>SUM(L5:L8)</f>
        <v>512838.4986358555</v>
      </c>
      <c r="N9" s="64">
        <f>SUM(N5:N8)</f>
        <v>0</v>
      </c>
      <c r="O9" s="65">
        <f>SUM(O5:O8)</f>
        <v>0</v>
      </c>
      <c r="P9" s="64">
        <f>SUM(P5:P8)</f>
        <v>0</v>
      </c>
      <c r="Q9" s="63">
        <f>SUM(Q5:Q8)</f>
        <v>615644.82031826116</v>
      </c>
    </row>
    <row r="12" spans="1:17" customFormat="1" x14ac:dyDescent="0.3">
      <c r="A12" s="75" t="s">
        <v>39</v>
      </c>
      <c r="B12" s="75"/>
      <c r="C12" s="75"/>
      <c r="D12" s="75"/>
      <c r="E12" s="75"/>
      <c r="F12" s="75"/>
      <c r="G12" s="75"/>
      <c r="H12" s="75"/>
      <c r="I12" s="75"/>
      <c r="J12" s="75"/>
      <c r="K12" s="75"/>
      <c r="L12" s="75"/>
      <c r="M12" s="87">
        <v>43256</v>
      </c>
    </row>
    <row r="13" spans="1:17" customFormat="1" x14ac:dyDescent="0.3">
      <c r="A13" s="75" t="s">
        <v>75</v>
      </c>
      <c r="B13" s="75"/>
      <c r="C13" s="75"/>
      <c r="D13" s="75"/>
      <c r="E13" s="75"/>
      <c r="F13" s="75"/>
      <c r="G13" s="75"/>
      <c r="H13" s="75"/>
      <c r="I13" s="75"/>
      <c r="J13" s="75"/>
      <c r="K13" s="75"/>
      <c r="L13" s="75"/>
      <c r="M13" s="75"/>
    </row>
    <row r="14" spans="1:17" customFormat="1" x14ac:dyDescent="0.3">
      <c r="A14" s="75"/>
      <c r="B14" s="75"/>
      <c r="C14" s="75"/>
      <c r="D14" s="75"/>
      <c r="E14" s="75"/>
      <c r="F14" s="75"/>
      <c r="G14" s="75"/>
      <c r="H14" s="75"/>
      <c r="I14" s="75"/>
      <c r="J14" s="75"/>
      <c r="K14" s="75"/>
      <c r="L14" s="75"/>
      <c r="M14" s="75"/>
    </row>
    <row r="15" spans="1:17" customFormat="1" x14ac:dyDescent="0.3">
      <c r="A15" s="75"/>
      <c r="B15" s="75"/>
      <c r="C15" s="75"/>
      <c r="D15" s="75"/>
      <c r="E15" s="75"/>
      <c r="F15" s="75"/>
      <c r="G15" s="88">
        <v>0.15851781013254201</v>
      </c>
      <c r="H15" s="88">
        <v>0.84148217419548721</v>
      </c>
      <c r="I15" s="75"/>
      <c r="J15" s="75"/>
      <c r="K15" s="75"/>
      <c r="L15" s="88">
        <v>0.17437248026890337</v>
      </c>
      <c r="M15" s="88">
        <v>0.8256275197310966</v>
      </c>
    </row>
    <row r="16" spans="1:17" customFormat="1" x14ac:dyDescent="0.3">
      <c r="A16" s="75"/>
      <c r="B16" s="75" t="s">
        <v>63</v>
      </c>
      <c r="C16" s="75" t="s">
        <v>49</v>
      </c>
      <c r="D16" s="75"/>
      <c r="E16" s="75" t="s">
        <v>64</v>
      </c>
      <c r="F16" s="75" t="s">
        <v>64</v>
      </c>
      <c r="G16" s="75" t="s">
        <v>64</v>
      </c>
      <c r="H16" s="75" t="s">
        <v>64</v>
      </c>
      <c r="I16" s="75"/>
      <c r="J16" s="75" t="s">
        <v>76</v>
      </c>
      <c r="K16" s="75" t="s">
        <v>76</v>
      </c>
      <c r="L16" s="75" t="s">
        <v>76</v>
      </c>
      <c r="M16" s="75" t="s">
        <v>76</v>
      </c>
    </row>
    <row r="17" spans="1:13" customFormat="1" ht="28.8" x14ac:dyDescent="0.3">
      <c r="A17" s="75" t="s">
        <v>2</v>
      </c>
      <c r="B17" s="89" t="s">
        <v>77</v>
      </c>
      <c r="C17" s="75" t="s">
        <v>78</v>
      </c>
      <c r="D17" s="75"/>
      <c r="E17" s="89" t="s">
        <v>77</v>
      </c>
      <c r="F17" s="75" t="s">
        <v>79</v>
      </c>
      <c r="G17" s="75" t="s">
        <v>49</v>
      </c>
      <c r="H17" s="75" t="s">
        <v>80</v>
      </c>
      <c r="I17" s="75"/>
      <c r="J17" s="89" t="s">
        <v>77</v>
      </c>
      <c r="K17" s="75" t="s">
        <v>79</v>
      </c>
      <c r="L17" s="75" t="s">
        <v>49</v>
      </c>
      <c r="M17" s="75" t="s">
        <v>80</v>
      </c>
    </row>
    <row r="18" spans="1:13" customFormat="1" x14ac:dyDescent="0.3">
      <c r="A18" s="90" t="s">
        <v>7</v>
      </c>
      <c r="B18" s="73">
        <v>0.18783994723704941</v>
      </c>
      <c r="C18" s="74">
        <v>96331.556524886735</v>
      </c>
      <c r="D18" s="75"/>
      <c r="E18" s="73">
        <v>0.18771775637760668</v>
      </c>
      <c r="F18" s="76">
        <v>94499.811414673459</v>
      </c>
      <c r="G18" s="77">
        <f>F18*G$15</f>
        <v>14979.903163392233</v>
      </c>
      <c r="H18" s="78">
        <f>F18-G18</f>
        <v>79519.908251281231</v>
      </c>
      <c r="I18" s="75"/>
      <c r="J18" s="73">
        <v>0.30675755809081207</v>
      </c>
      <c r="K18" s="74">
        <v>188853.70173208654</v>
      </c>
      <c r="L18" s="77">
        <f>K18*L$15</f>
        <v>32930.88837898762</v>
      </c>
      <c r="M18" s="77">
        <f>K18-L18</f>
        <v>155922.81335309893</v>
      </c>
    </row>
    <row r="19" spans="1:13" customFormat="1" x14ac:dyDescent="0.3">
      <c r="A19" s="79" t="s">
        <v>8</v>
      </c>
      <c r="B19" s="73">
        <v>0.15834386798488809</v>
      </c>
      <c r="C19" s="74">
        <v>81204.831525564121</v>
      </c>
      <c r="D19" s="75"/>
      <c r="E19" s="73">
        <v>0.15642660662116692</v>
      </c>
      <c r="F19" s="76">
        <v>78747.397748575473</v>
      </c>
      <c r="G19" s="77">
        <f>F19*G$15</f>
        <v>12482.865044740453</v>
      </c>
      <c r="H19" s="78">
        <f t="shared" ref="H19:H21" si="0">F19-G19</f>
        <v>66264.532703835022</v>
      </c>
      <c r="I19" s="75"/>
      <c r="J19" s="73">
        <v>0.15869661427187598</v>
      </c>
      <c r="K19" s="74">
        <v>97700.748578525483</v>
      </c>
      <c r="L19" s="77">
        <f>K19*L$15</f>
        <v>17036.321853766025</v>
      </c>
      <c r="M19" s="77">
        <f>K19-L19</f>
        <v>80664.426724759454</v>
      </c>
    </row>
    <row r="20" spans="1:13" customFormat="1" ht="16.5" customHeight="1" x14ac:dyDescent="0.3">
      <c r="A20" s="79" t="s">
        <v>9</v>
      </c>
      <c r="B20" s="73">
        <v>0.12851393228511804</v>
      </c>
      <c r="C20" s="74">
        <v>65906.892086889944</v>
      </c>
      <c r="D20" s="75"/>
      <c r="E20" s="73">
        <v>0.14617943331621075</v>
      </c>
      <c r="F20" s="76">
        <v>73588.823708813768</v>
      </c>
      <c r="G20" s="77">
        <f>F20*G$15</f>
        <v>11665.139184550848</v>
      </c>
      <c r="H20" s="78">
        <f t="shared" si="0"/>
        <v>61923.684524262921</v>
      </c>
      <c r="I20" s="75"/>
      <c r="J20" s="73">
        <v>0.13558055467746255</v>
      </c>
      <c r="K20" s="74">
        <v>83469.466223056603</v>
      </c>
      <c r="L20" s="77">
        <f>K20*L$15</f>
        <v>14554.777852035833</v>
      </c>
      <c r="M20" s="77">
        <f>K20-L20</f>
        <v>68914.688371020777</v>
      </c>
    </row>
    <row r="21" spans="1:13" customFormat="1" ht="16.5" customHeight="1" x14ac:dyDescent="0.3">
      <c r="A21" s="72" t="s">
        <v>10</v>
      </c>
      <c r="B21" s="73">
        <v>0.52530225249294438</v>
      </c>
      <c r="C21" s="80">
        <v>269395.21849851467</v>
      </c>
      <c r="D21" s="75"/>
      <c r="E21" s="73">
        <v>0.50967620368501565</v>
      </c>
      <c r="F21" s="76">
        <v>256578.31235685019</v>
      </c>
      <c r="G21" s="77">
        <f>F21*G$15</f>
        <v>40672.232202311236</v>
      </c>
      <c r="H21" s="78">
        <f t="shared" si="0"/>
        <v>215906.08015453897</v>
      </c>
      <c r="I21" s="81" t="s">
        <v>72</v>
      </c>
      <c r="J21" s="82">
        <v>0.39896527295984946</v>
      </c>
      <c r="K21" s="77">
        <v>245620.90378459255</v>
      </c>
      <c r="L21" s="77">
        <f>K21*L$15</f>
        <v>42829.526198809079</v>
      </c>
      <c r="M21" s="77">
        <f>K21-L21</f>
        <v>202791.37758578348</v>
      </c>
    </row>
    <row r="22" spans="1:13" customFormat="1" ht="16.5" customHeight="1" x14ac:dyDescent="0.3">
      <c r="A22" s="3" t="s">
        <v>73</v>
      </c>
      <c r="B22" s="83">
        <f>SUM(B18:B21)</f>
        <v>1</v>
      </c>
      <c r="C22" s="84">
        <f>SUM(C18:C21)</f>
        <v>512838.4986358555</v>
      </c>
      <c r="E22" s="83">
        <f>SUM(E18:E21)</f>
        <v>1</v>
      </c>
      <c r="F22" s="31">
        <f>SUM(F18:F21)</f>
        <v>503414.34522891289</v>
      </c>
      <c r="G22" s="77">
        <f>F22*G$15</f>
        <v>79800.139594994776</v>
      </c>
      <c r="H22" s="78">
        <f>SUM(H18:H21)</f>
        <v>423614.20563391811</v>
      </c>
      <c r="J22" s="83">
        <f>SUM(J18:J21)</f>
        <v>1</v>
      </c>
      <c r="K22" s="84">
        <f>SUM(K18:K21)</f>
        <v>615644.82031826116</v>
      </c>
      <c r="L22" s="85">
        <f>SUM(L18:L21)</f>
        <v>107351.51428359855</v>
      </c>
      <c r="M22" s="85">
        <f>SUM(M18:M21)</f>
        <v>508293.30603466264</v>
      </c>
    </row>
    <row r="23" spans="1:13" customFormat="1" ht="13.2" x14ac:dyDescent="0.25"/>
  </sheetData>
  <mergeCells count="3">
    <mergeCell ref="D3:G3"/>
    <mergeCell ref="I3:L3"/>
    <mergeCell ref="N3:Q3"/>
  </mergeCells>
  <pageMargins left="0.7" right="0.7" top="0.75" bottom="0.75" header="0.3" footer="0.3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Y65"/>
  <sheetViews>
    <sheetView topLeftCell="J5" zoomScaleNormal="100" workbookViewId="0">
      <pane xSplit="1" ySplit="3" topLeftCell="K49" activePane="bottomRight" state="frozen"/>
      <selection activeCell="J7" sqref="J7"/>
      <selection pane="topRight" activeCell="K7" sqref="K7"/>
      <selection pane="bottomLeft" activeCell="J8" sqref="J8"/>
      <selection pane="bottomRight" activeCell="J67" sqref="J67"/>
    </sheetView>
  </sheetViews>
  <sheetFormatPr defaultRowHeight="13.2" x14ac:dyDescent="0.25"/>
  <cols>
    <col min="1" max="1" width="16.44140625" hidden="1" customWidth="1"/>
    <col min="2" max="2" width="22.5546875" hidden="1" customWidth="1"/>
    <col min="3" max="3" width="7.33203125" hidden="1" customWidth="1"/>
    <col min="4" max="4" width="15.44140625" hidden="1" customWidth="1"/>
    <col min="5" max="5" width="16.44140625" style="6" hidden="1" customWidth="1"/>
    <col min="6" max="6" width="15.33203125" style="6" hidden="1" customWidth="1"/>
    <col min="7" max="7" width="10.109375" hidden="1" customWidth="1"/>
    <col min="8" max="9" width="0" hidden="1" customWidth="1"/>
    <col min="10" max="10" width="15.6640625" customWidth="1"/>
    <col min="11" max="11" width="16.33203125" customWidth="1"/>
    <col min="12" max="12" width="11.33203125" customWidth="1"/>
    <col min="13" max="13" width="10.5546875" customWidth="1"/>
    <col min="14" max="14" width="11.109375" customWidth="1"/>
    <col min="16" max="16" width="11.33203125" customWidth="1"/>
    <col min="17" max="19" width="10.5546875" customWidth="1"/>
    <col min="20" max="20" width="11" customWidth="1"/>
    <col min="22" max="22" width="14.44140625" customWidth="1"/>
    <col min="23" max="23" width="11.5546875" style="101" customWidth="1"/>
    <col min="24" max="24" width="14.109375" customWidth="1"/>
    <col min="25" max="25" width="17.44140625" bestFit="1" customWidth="1"/>
  </cols>
  <sheetData>
    <row r="1" spans="1:24" s="7" customFormat="1" ht="21.6" thickBot="1" x14ac:dyDescent="0.45">
      <c r="D1" s="20" t="s">
        <v>13</v>
      </c>
      <c r="J1" s="15" t="s">
        <v>39</v>
      </c>
      <c r="S1" s="173">
        <f ca="1">NOW()</f>
        <v>44884.557374074073</v>
      </c>
      <c r="T1" s="173"/>
      <c r="W1" s="100"/>
    </row>
    <row r="2" spans="1:24" s="7" customFormat="1" ht="15.6" x14ac:dyDescent="0.3">
      <c r="J2" s="7" t="s">
        <v>85</v>
      </c>
      <c r="N2" s="19"/>
      <c r="W2" s="100"/>
    </row>
    <row r="3" spans="1:24" s="7" customFormat="1" ht="15.6" x14ac:dyDescent="0.3">
      <c r="W3" s="100"/>
    </row>
    <row r="4" spans="1:24" s="7" customFormat="1" ht="15.6" x14ac:dyDescent="0.3">
      <c r="D4" s="41" t="s">
        <v>48</v>
      </c>
      <c r="F4" s="40"/>
      <c r="J4" s="7" t="s">
        <v>68</v>
      </c>
      <c r="W4" s="100"/>
    </row>
    <row r="5" spans="1:24" s="7" customFormat="1" ht="16.2" thickBot="1" x14ac:dyDescent="0.35">
      <c r="E5" s="40" t="s">
        <v>49</v>
      </c>
      <c r="J5" s="7" t="s">
        <v>88</v>
      </c>
      <c r="W5" s="100"/>
    </row>
    <row r="6" spans="1:24" ht="13.8" thickBot="1" x14ac:dyDescent="0.3">
      <c r="A6" t="str">
        <f>D13</f>
        <v xml:space="preserve">Adult Adm </v>
      </c>
      <c r="D6" s="22" t="str">
        <f>D13</f>
        <v xml:space="preserve">Adult Adm </v>
      </c>
      <c r="K6" s="53">
        <f>483473*0.1</f>
        <v>48347.3</v>
      </c>
    </row>
    <row r="7" spans="1:24" ht="39" customHeight="1" thickBot="1" x14ac:dyDescent="0.35">
      <c r="A7" s="1" t="s">
        <v>0</v>
      </c>
      <c r="B7" s="1" t="s">
        <v>1</v>
      </c>
      <c r="C7" s="1" t="s">
        <v>2</v>
      </c>
      <c r="D7" s="1" t="s">
        <v>3</v>
      </c>
      <c r="E7" s="4" t="s">
        <v>12</v>
      </c>
      <c r="F7" s="27" t="s">
        <v>22</v>
      </c>
      <c r="J7" s="18" t="s">
        <v>3</v>
      </c>
      <c r="K7" s="54" t="s">
        <v>19</v>
      </c>
      <c r="L7" s="43" t="s">
        <v>40</v>
      </c>
      <c r="M7" s="24" t="s">
        <v>24</v>
      </c>
      <c r="N7" s="24" t="s">
        <v>23</v>
      </c>
      <c r="P7" s="43" t="s">
        <v>38</v>
      </c>
      <c r="Q7" s="43" t="s">
        <v>37</v>
      </c>
      <c r="R7" s="42" t="s">
        <v>31</v>
      </c>
      <c r="S7" s="42" t="s">
        <v>34</v>
      </c>
      <c r="T7" s="42" t="s">
        <v>35</v>
      </c>
      <c r="V7" s="37" t="s">
        <v>49</v>
      </c>
      <c r="W7" s="102" t="s">
        <v>89</v>
      </c>
      <c r="X7" s="35" t="s">
        <v>87</v>
      </c>
    </row>
    <row r="8" spans="1:24" ht="12.75" customHeight="1" x14ac:dyDescent="0.25">
      <c r="A8" s="2" t="s">
        <v>5</v>
      </c>
      <c r="B8" s="2" t="s">
        <v>6</v>
      </c>
      <c r="C8" s="2">
        <v>56</v>
      </c>
      <c r="D8" s="2" t="s">
        <v>7</v>
      </c>
      <c r="E8" s="5">
        <f>'Sara Ballard eml 6-5-18'!G5*0.04</f>
        <v>3779.9924565869383</v>
      </c>
      <c r="F8" s="17">
        <f t="shared" ref="F8:F13" si="0">E8/E$13</f>
        <v>7.5087102551042673E-2</v>
      </c>
      <c r="J8" s="2" t="s">
        <v>7</v>
      </c>
      <c r="K8" s="55">
        <f>'Sara Ballard eml 6-5-18'!G5*0.04</f>
        <v>3779.9924565869383</v>
      </c>
      <c r="L8" s="45">
        <v>4096.2880000000005</v>
      </c>
      <c r="M8" s="8">
        <f t="shared" ref="M8:M13" si="1">K8-L8</f>
        <v>-316.29554341306221</v>
      </c>
      <c r="N8" s="9">
        <f t="shared" ref="N8:N13" si="2">-1+(K8/L8)</f>
        <v>-7.7215162462468956E-2</v>
      </c>
      <c r="P8" s="45">
        <v>2727.15</v>
      </c>
      <c r="Q8" s="45">
        <v>2179.92</v>
      </c>
      <c r="R8" s="8">
        <v>1475.6759999999999</v>
      </c>
      <c r="S8" s="8">
        <v>1290.7760000000001</v>
      </c>
      <c r="T8" s="25">
        <v>1695</v>
      </c>
      <c r="V8" s="6">
        <f>K8-E8</f>
        <v>0</v>
      </c>
      <c r="W8" s="103">
        <f>K8-V8-0.43</f>
        <v>3779.5624565869384</v>
      </c>
      <c r="X8" s="6">
        <f>V8+W8</f>
        <v>3779.5624565869384</v>
      </c>
    </row>
    <row r="9" spans="1:24" ht="12.75" customHeight="1" x14ac:dyDescent="0.25">
      <c r="A9" s="2" t="s">
        <v>5</v>
      </c>
      <c r="B9" s="2" t="s">
        <v>6</v>
      </c>
      <c r="C9" s="2">
        <v>58</v>
      </c>
      <c r="D9" s="2" t="s">
        <v>8</v>
      </c>
      <c r="E9" s="5">
        <f>'Sara Ballard eml 6-5-18'!G6*0.04</f>
        <v>3149.895909943019</v>
      </c>
      <c r="F9" s="17">
        <f t="shared" si="0"/>
        <v>6.2570642648466776E-2</v>
      </c>
      <c r="J9" s="2" t="s">
        <v>8</v>
      </c>
      <c r="K9" s="55">
        <f>'Sara Ballard eml 6-5-18'!G6*0.04</f>
        <v>3149.895909943019</v>
      </c>
      <c r="L9" s="45">
        <v>3044.8360000000002</v>
      </c>
      <c r="M9" s="8">
        <f t="shared" si="1"/>
        <v>105.05990994301874</v>
      </c>
      <c r="N9" s="9">
        <f t="shared" si="2"/>
        <v>3.4504291838055812E-2</v>
      </c>
      <c r="P9" s="45">
        <v>2041.86</v>
      </c>
      <c r="Q9" s="45">
        <v>1930.124</v>
      </c>
      <c r="R9" s="8">
        <v>1748.856</v>
      </c>
      <c r="S9" s="8">
        <v>1662.6520000000003</v>
      </c>
      <c r="T9" s="25">
        <v>1972</v>
      </c>
      <c r="V9" s="6">
        <f t="shared" ref="V9:V11" si="3">K9-E9</f>
        <v>0</v>
      </c>
      <c r="W9" s="103">
        <f t="shared" ref="W9:W12" si="4">K9-V9</f>
        <v>3149.895909943019</v>
      </c>
      <c r="X9" s="6">
        <f t="shared" ref="X9:X12" si="5">V9+W9</f>
        <v>3149.895909943019</v>
      </c>
    </row>
    <row r="10" spans="1:24" ht="12.75" customHeight="1" x14ac:dyDescent="0.25">
      <c r="A10" s="2" t="s">
        <v>5</v>
      </c>
      <c r="B10" s="2" t="s">
        <v>6</v>
      </c>
      <c r="C10" s="2">
        <v>61</v>
      </c>
      <c r="D10" s="2" t="s">
        <v>9</v>
      </c>
      <c r="E10" s="5">
        <f>'Sara Ballard eml 6-5-18'!G7*0.04</f>
        <v>2943.5529483525506</v>
      </c>
      <c r="F10" s="17">
        <f t="shared" si="0"/>
        <v>5.8471773326484303E-2</v>
      </c>
      <c r="J10" s="2" t="s">
        <v>9</v>
      </c>
      <c r="K10" s="55">
        <f>'Sara Ballard eml 6-5-18'!G7*0.04</f>
        <v>2943.5529483525506</v>
      </c>
      <c r="L10" s="45">
        <v>2774.6560000000004</v>
      </c>
      <c r="M10" s="8">
        <f t="shared" si="1"/>
        <v>168.89694835255023</v>
      </c>
      <c r="N10" s="9">
        <f t="shared" si="2"/>
        <v>6.0871311021096108E-2</v>
      </c>
      <c r="P10" s="45">
        <v>1894.69</v>
      </c>
      <c r="Q10" s="45">
        <v>1853.5120000000002</v>
      </c>
      <c r="R10" s="8">
        <v>1825.048</v>
      </c>
      <c r="S10" s="8">
        <v>1863.7840000000001</v>
      </c>
      <c r="T10" s="25">
        <v>1893</v>
      </c>
      <c r="V10" s="6">
        <f t="shared" si="3"/>
        <v>0</v>
      </c>
      <c r="W10" s="103">
        <f t="shared" si="4"/>
        <v>2943.5529483525506</v>
      </c>
      <c r="X10" s="6">
        <f t="shared" si="5"/>
        <v>2943.5529483525506</v>
      </c>
    </row>
    <row r="11" spans="1:24" ht="12.75" customHeight="1" x14ac:dyDescent="0.25">
      <c r="A11" s="2" t="s">
        <v>5</v>
      </c>
      <c r="B11" s="2" t="s">
        <v>6</v>
      </c>
      <c r="C11" s="2">
        <v>84</v>
      </c>
      <c r="D11" s="2" t="s">
        <v>10</v>
      </c>
      <c r="E11" s="5">
        <f>'Sara Ballard eml 6-5-18'!G8*0.04</f>
        <v>10263.132494274008</v>
      </c>
      <c r="F11" s="17">
        <f t="shared" si="0"/>
        <v>0.2038704814740063</v>
      </c>
      <c r="J11" s="2" t="s">
        <v>10</v>
      </c>
      <c r="K11" s="55">
        <f>'Sara Ballard eml 6-5-18'!G8*0.04</f>
        <v>10263.132494274008</v>
      </c>
      <c r="L11" s="45">
        <v>8599.6200000000008</v>
      </c>
      <c r="M11" s="8">
        <f t="shared" si="1"/>
        <v>1663.5124942740076</v>
      </c>
      <c r="N11" s="9">
        <f t="shared" si="2"/>
        <v>0.1934402327398197</v>
      </c>
      <c r="P11" s="45">
        <v>5306.02</v>
      </c>
      <c r="Q11" s="45">
        <v>4768.4340000000002</v>
      </c>
      <c r="R11" s="8">
        <v>4603.01</v>
      </c>
      <c r="S11" s="8">
        <v>4897.1880000000001</v>
      </c>
      <c r="T11" s="25">
        <v>5732</v>
      </c>
      <c r="V11" s="6">
        <f t="shared" si="3"/>
        <v>0</v>
      </c>
      <c r="W11" s="103">
        <f t="shared" si="4"/>
        <v>10263.132494274008</v>
      </c>
      <c r="X11" s="6">
        <f t="shared" si="5"/>
        <v>10263.132494274008</v>
      </c>
    </row>
    <row r="12" spans="1:24" ht="12.75" customHeight="1" thickBot="1" x14ac:dyDescent="0.3">
      <c r="A12" s="3"/>
      <c r="B12" s="3"/>
      <c r="C12" s="3"/>
      <c r="D12" s="2" t="s">
        <v>11</v>
      </c>
      <c r="E12" s="12">
        <f>'Sara Ballard eml 6-5-18'!G9*0.06</f>
        <v>30204.860713734772</v>
      </c>
      <c r="F12" s="17">
        <f t="shared" si="0"/>
        <v>0.6</v>
      </c>
      <c r="J12" s="2" t="s">
        <v>11</v>
      </c>
      <c r="K12" s="55">
        <f>'Sara Ballard eml 6-5-18'!G9*0.06</f>
        <v>30204.860713734772</v>
      </c>
      <c r="L12" s="45">
        <v>27773.599999999999</v>
      </c>
      <c r="M12" s="8">
        <f t="shared" si="1"/>
        <v>2431.2607137347732</v>
      </c>
      <c r="N12" s="9">
        <f t="shared" si="2"/>
        <v>8.7538551492596373E-2</v>
      </c>
      <c r="P12" s="45">
        <v>17954.28</v>
      </c>
      <c r="Q12" s="45">
        <v>16098</v>
      </c>
      <c r="R12" s="8">
        <v>14480.4</v>
      </c>
      <c r="S12" s="8">
        <v>14571.6</v>
      </c>
      <c r="T12" s="25">
        <v>16938</v>
      </c>
      <c r="V12" s="6">
        <v>7980</v>
      </c>
      <c r="W12" s="103">
        <f t="shared" si="4"/>
        <v>22224.860713734772</v>
      </c>
      <c r="X12" s="6">
        <f t="shared" si="5"/>
        <v>30204.860713734772</v>
      </c>
    </row>
    <row r="13" spans="1:24" ht="12.75" customHeight="1" thickBot="1" x14ac:dyDescent="0.3">
      <c r="D13" s="21" t="s">
        <v>15</v>
      </c>
      <c r="E13" s="49">
        <f>SUM(E8:E12)</f>
        <v>50341.434522891286</v>
      </c>
      <c r="F13" s="48">
        <f t="shared" si="0"/>
        <v>1</v>
      </c>
      <c r="K13" s="56">
        <f>SUM(K8:K12)</f>
        <v>50341.434522891286</v>
      </c>
      <c r="L13" s="11">
        <f>SUM(L8:L12)</f>
        <v>46289</v>
      </c>
      <c r="M13" s="8">
        <f t="shared" si="1"/>
        <v>4052.4345228912862</v>
      </c>
      <c r="N13" s="9">
        <f t="shared" si="2"/>
        <v>8.7546383004413197E-2</v>
      </c>
      <c r="P13" s="45">
        <f>SUM(P8:P12)</f>
        <v>29924</v>
      </c>
      <c r="Q13" s="45">
        <f>SUM(Q8:Q12)</f>
        <v>26829.99</v>
      </c>
      <c r="R13" s="11">
        <f>SUM(R8:R12)</f>
        <v>24132.989999999998</v>
      </c>
      <c r="S13" s="11">
        <f>SUM(S8:S12)</f>
        <v>24286</v>
      </c>
      <c r="T13" s="26">
        <f>SUM(T8:T12)</f>
        <v>28230</v>
      </c>
      <c r="V13" s="34">
        <f t="shared" ref="V13:W13" si="6">SUM(V8:V12)</f>
        <v>7980</v>
      </c>
      <c r="W13" s="104">
        <f t="shared" si="6"/>
        <v>42361.004522891286</v>
      </c>
      <c r="X13" s="34">
        <f>SUM(X8:X12)</f>
        <v>50341.004522891286</v>
      </c>
    </row>
    <row r="14" spans="1:24" ht="12.75" customHeight="1" x14ac:dyDescent="0.25">
      <c r="D14" s="3"/>
      <c r="K14" s="32"/>
      <c r="M14" s="13"/>
      <c r="N14" s="14"/>
      <c r="R14" s="13"/>
      <c r="S14" s="13"/>
      <c r="W14" s="105">
        <f>W11+W12</f>
        <v>32487.993208008782</v>
      </c>
    </row>
    <row r="15" spans="1:24" ht="17.25" customHeight="1" thickBot="1" x14ac:dyDescent="0.35">
      <c r="D15" s="3"/>
      <c r="J15" s="7" t="s">
        <v>16</v>
      </c>
      <c r="K15" s="32"/>
      <c r="V15" s="96">
        <v>71820</v>
      </c>
    </row>
    <row r="16" spans="1:24" ht="12.75" hidden="1" customHeight="1" thickBot="1" x14ac:dyDescent="0.3">
      <c r="D16" s="22" t="str">
        <f>D22</f>
        <v xml:space="preserve">Adult </v>
      </c>
      <c r="K16" s="53">
        <f>483473*0.9</f>
        <v>435125.7</v>
      </c>
    </row>
    <row r="17" spans="1:24" ht="42" customHeight="1" thickBot="1" x14ac:dyDescent="0.35">
      <c r="A17" s="1" t="s">
        <v>0</v>
      </c>
      <c r="B17" s="1" t="s">
        <v>1</v>
      </c>
      <c r="C17" s="1" t="s">
        <v>2</v>
      </c>
      <c r="D17" s="1" t="s">
        <v>3</v>
      </c>
      <c r="E17" s="4" t="s">
        <v>12</v>
      </c>
      <c r="F17" s="27" t="s">
        <v>22</v>
      </c>
      <c r="J17" s="18" t="s">
        <v>3</v>
      </c>
      <c r="K17" s="54" t="s">
        <v>19</v>
      </c>
      <c r="L17" s="43" t="str">
        <f>L7</f>
        <v>PY17 &amp; FY18 Actual</v>
      </c>
      <c r="M17" s="24" t="s">
        <v>24</v>
      </c>
      <c r="N17" s="24" t="s">
        <v>23</v>
      </c>
      <c r="P17" s="43" t="s">
        <v>38</v>
      </c>
      <c r="Q17" s="43" t="s">
        <v>37</v>
      </c>
      <c r="R17" s="42" t="s">
        <v>31</v>
      </c>
      <c r="S17" s="42" t="s">
        <v>34</v>
      </c>
      <c r="T17" s="42" t="s">
        <v>35</v>
      </c>
      <c r="V17" s="37" t="str">
        <f>V7</f>
        <v>PY18</v>
      </c>
      <c r="W17" s="102" t="str">
        <f>W7</f>
        <v>FY19 Actual</v>
      </c>
      <c r="X17" s="35" t="s">
        <v>87</v>
      </c>
    </row>
    <row r="18" spans="1:24" ht="12.75" customHeight="1" x14ac:dyDescent="0.25">
      <c r="A18" s="2" t="s">
        <v>5</v>
      </c>
      <c r="B18" s="2" t="s">
        <v>6</v>
      </c>
      <c r="C18" s="2">
        <v>56</v>
      </c>
      <c r="D18" s="2" t="s">
        <v>7</v>
      </c>
      <c r="E18" s="5">
        <f>'Sara Ballard eml 6-5-18'!G5*0.9</f>
        <v>85049.830273206113</v>
      </c>
      <c r="F18" s="17">
        <f>E18/E$22</f>
        <v>0.67305608344458423</v>
      </c>
      <c r="J18" s="2" t="s">
        <v>7</v>
      </c>
      <c r="K18" s="55">
        <f>'Sara Ballard eml 6-5-18'!G5*0.9</f>
        <v>85049.830273206113</v>
      </c>
      <c r="L18" s="45">
        <v>92168.79</v>
      </c>
      <c r="M18" s="8">
        <f>K18-L18</f>
        <v>-7118.9597267938807</v>
      </c>
      <c r="N18" s="9">
        <f>-1+(K18/L18)</f>
        <v>-7.7238289954700279E-2</v>
      </c>
      <c r="O18">
        <f>K18+K8+(K8*1.5)</f>
        <v>94499.811414673459</v>
      </c>
      <c r="P18" s="45">
        <v>61354.85</v>
      </c>
      <c r="Q18" s="45">
        <v>49052.160000000003</v>
      </c>
      <c r="R18" s="8">
        <v>33207.19</v>
      </c>
      <c r="S18" s="8">
        <v>29032.03</v>
      </c>
      <c r="T18" s="25">
        <v>38132</v>
      </c>
      <c r="V18" s="6">
        <f>(K18/K$22)*V$15</f>
        <v>13481.889263039711</v>
      </c>
      <c r="W18" s="103">
        <f t="shared" ref="W18:W20" si="7">K18-V18</f>
        <v>71567.941010166396</v>
      </c>
      <c r="X18" s="6">
        <f>V18+W18</f>
        <v>85049.830273206113</v>
      </c>
    </row>
    <row r="19" spans="1:24" ht="12.75" customHeight="1" x14ac:dyDescent="0.25">
      <c r="A19" s="2" t="s">
        <v>5</v>
      </c>
      <c r="B19" s="2" t="s">
        <v>6</v>
      </c>
      <c r="C19" s="2">
        <v>58</v>
      </c>
      <c r="D19" s="2" t="s">
        <v>8</v>
      </c>
      <c r="E19" s="5">
        <v>8724.1299999999992</v>
      </c>
      <c r="F19" s="17">
        <f>E19/E$22</f>
        <v>6.9039864634641679E-2</v>
      </c>
      <c r="J19" s="2" t="s">
        <v>8</v>
      </c>
      <c r="K19" s="55">
        <f>'Sara Ballard eml 6-5-18'!G6*0.9</f>
        <v>70872.657973717927</v>
      </c>
      <c r="L19" s="45">
        <v>68509.820000000007</v>
      </c>
      <c r="M19" s="8">
        <f>K19-L19</f>
        <v>2362.8379737179202</v>
      </c>
      <c r="N19" s="9">
        <f>-1+(K19/L19)</f>
        <v>3.4489040749456246E-2</v>
      </c>
      <c r="O19">
        <f t="shared" ref="O19:O21" si="8">K19+K9+(K9*1.5)</f>
        <v>78747.397748575473</v>
      </c>
      <c r="P19" s="45">
        <v>45941.429999999993</v>
      </c>
      <c r="Q19" s="45">
        <v>43418.810000000005</v>
      </c>
      <c r="R19" s="8">
        <v>39345.279999999999</v>
      </c>
      <c r="S19" s="8">
        <v>37399.170000000006</v>
      </c>
      <c r="T19" s="25">
        <v>44379</v>
      </c>
      <c r="V19" s="6">
        <f t="shared" ref="V19:V21" si="9">(K19/K$22)*V$15</f>
        <v>11234.558887532208</v>
      </c>
      <c r="W19" s="103">
        <f t="shared" si="7"/>
        <v>59638.099086185721</v>
      </c>
      <c r="X19" s="6">
        <f t="shared" ref="X19:X21" si="10">V19+W19</f>
        <v>70872.657973717927</v>
      </c>
    </row>
    <row r="20" spans="1:24" ht="12.75" customHeight="1" x14ac:dyDescent="0.25">
      <c r="A20" s="2" t="s">
        <v>5</v>
      </c>
      <c r="B20" s="2" t="s">
        <v>6</v>
      </c>
      <c r="C20" s="2">
        <v>61</v>
      </c>
      <c r="D20" s="2" t="s">
        <v>9</v>
      </c>
      <c r="E20" s="5">
        <v>7949.48</v>
      </c>
      <c r="F20" s="17">
        <f>E20/E$22</f>
        <v>6.2909542053567677E-2</v>
      </c>
      <c r="J20" s="2" t="s">
        <v>9</v>
      </c>
      <c r="K20" s="55">
        <f>'Sara Ballard eml 6-5-18'!G7*0.9</f>
        <v>66229.941337932396</v>
      </c>
      <c r="L20" s="45">
        <v>62430.770000000004</v>
      </c>
      <c r="M20" s="8">
        <f>K20-L20</f>
        <v>3799.1713379323919</v>
      </c>
      <c r="N20" s="9">
        <f>-1+(K20/L20)</f>
        <v>6.0854148329940294E-2</v>
      </c>
      <c r="O20">
        <f t="shared" si="8"/>
        <v>73588.823708813768</v>
      </c>
      <c r="P20" s="45">
        <v>42630.28</v>
      </c>
      <c r="Q20" s="45">
        <v>41701.97</v>
      </c>
      <c r="R20" s="8">
        <v>41075.050000000003</v>
      </c>
      <c r="S20" s="8">
        <v>41938.61</v>
      </c>
      <c r="T20" s="25">
        <v>42591</v>
      </c>
      <c r="V20" s="6">
        <f t="shared" si="9"/>
        <v>10498.606900770255</v>
      </c>
      <c r="W20" s="103">
        <f t="shared" si="7"/>
        <v>55731.334437162142</v>
      </c>
      <c r="X20" s="6">
        <f t="shared" si="10"/>
        <v>66229.941337932396</v>
      </c>
    </row>
    <row r="21" spans="1:24" ht="12.75" customHeight="1" thickBot="1" x14ac:dyDescent="0.3">
      <c r="A21" s="2" t="s">
        <v>5</v>
      </c>
      <c r="B21" s="2" t="s">
        <v>6</v>
      </c>
      <c r="C21" s="2">
        <v>84</v>
      </c>
      <c r="D21" s="2" t="s">
        <v>10</v>
      </c>
      <c r="E21" s="5">
        <v>24640.22</v>
      </c>
      <c r="F21" s="17">
        <f>E21/E$22</f>
        <v>0.19499450986720634</v>
      </c>
      <c r="J21" s="2" t="s">
        <v>10</v>
      </c>
      <c r="K21" s="55">
        <f>'Sara Ballard eml 6-5-18'!G8*0.9</f>
        <v>230920.48112116518</v>
      </c>
      <c r="L21" s="45">
        <v>193496.62</v>
      </c>
      <c r="M21" s="8">
        <f>K21-L21</f>
        <v>37423.861121165188</v>
      </c>
      <c r="N21" s="9">
        <f>-1+(K21/L21)</f>
        <v>0.19340834543345098</v>
      </c>
      <c r="O21">
        <f t="shared" si="8"/>
        <v>256578.31235685019</v>
      </c>
      <c r="P21" s="45">
        <v>119387.44</v>
      </c>
      <c r="Q21" s="45">
        <v>107288.06</v>
      </c>
      <c r="R21" s="8">
        <v>103558.48000000001</v>
      </c>
      <c r="S21" s="8">
        <v>110187.19</v>
      </c>
      <c r="T21" s="25">
        <v>128963</v>
      </c>
      <c r="V21" s="6">
        <f t="shared" si="9"/>
        <v>36604.944948657823</v>
      </c>
      <c r="W21" s="103">
        <f>K21-V21+0.09</f>
        <v>194315.62617250736</v>
      </c>
      <c r="X21" s="6">
        <f t="shared" si="10"/>
        <v>230920.57112116518</v>
      </c>
    </row>
    <row r="22" spans="1:24" ht="12.75" customHeight="1" thickBot="1" x14ac:dyDescent="0.3">
      <c r="D22" s="21" t="s">
        <v>16</v>
      </c>
      <c r="E22" s="16">
        <f>SUM(E18:E21)</f>
        <v>126363.66027320611</v>
      </c>
      <c r="F22" s="17">
        <f>E22/E$22</f>
        <v>1</v>
      </c>
      <c r="K22" s="56">
        <f>SUM(K18:K21)</f>
        <v>453072.91070602159</v>
      </c>
      <c r="L22" s="45">
        <f>SUM(L18:L21)</f>
        <v>416606</v>
      </c>
      <c r="M22" s="8">
        <f>K22-L22</f>
        <v>36466.91070602159</v>
      </c>
      <c r="N22" s="9">
        <f>-1+(K22/L22)</f>
        <v>8.7533330547379551E-2</v>
      </c>
      <c r="P22" s="45">
        <f>SUM(P18:P21)</f>
        <v>269314</v>
      </c>
      <c r="Q22" s="45">
        <f>SUM(Q18:Q21)</f>
        <v>241461</v>
      </c>
      <c r="R22" s="11">
        <f>SUM(R18:R21)</f>
        <v>217186</v>
      </c>
      <c r="S22" s="11">
        <f>SUM(S18:S21)</f>
        <v>218557</v>
      </c>
      <c r="T22" s="26">
        <f>SUM(T18:T21)</f>
        <v>254065</v>
      </c>
      <c r="V22" s="58">
        <f>SUM(V18:V21)</f>
        <v>71820</v>
      </c>
      <c r="W22" s="106">
        <f>SUM(W18:W21)</f>
        <v>381253.00070602162</v>
      </c>
      <c r="X22" s="58">
        <f>SUM(X18:X21)</f>
        <v>453073.00070602162</v>
      </c>
    </row>
    <row r="23" spans="1:24" ht="12.75" customHeight="1" x14ac:dyDescent="0.25">
      <c r="D23" s="3"/>
      <c r="E23" s="6">
        <f>+E22+E13</f>
        <v>176705.0947960974</v>
      </c>
      <c r="K23" s="32">
        <f>+K22+K13</f>
        <v>503414.34522891289</v>
      </c>
      <c r="L23" s="13"/>
      <c r="M23" s="13"/>
      <c r="N23" s="14"/>
      <c r="P23" s="13"/>
      <c r="Q23" s="13">
        <f>Q22+Q13</f>
        <v>268290.99</v>
      </c>
      <c r="R23" s="13"/>
      <c r="S23" s="13"/>
      <c r="V23" s="6">
        <f t="shared" ref="V23" si="11">K23-E23</f>
        <v>326709.25043281552</v>
      </c>
    </row>
    <row r="24" spans="1:24" ht="12.75" customHeight="1" thickBot="1" x14ac:dyDescent="0.3">
      <c r="K24" s="32"/>
      <c r="Q24" s="32"/>
    </row>
    <row r="25" spans="1:24" ht="18.75" customHeight="1" thickBot="1" x14ac:dyDescent="0.35">
      <c r="D25" s="22" t="str">
        <f>D32</f>
        <v xml:space="preserve">DW Adm </v>
      </c>
      <c r="J25" s="7" t="s">
        <v>69</v>
      </c>
      <c r="K25" s="56">
        <f>601187*0.1</f>
        <v>60118.700000000004</v>
      </c>
      <c r="Q25" s="32"/>
    </row>
    <row r="26" spans="1:24" ht="40.5" customHeight="1" thickBot="1" x14ac:dyDescent="0.35">
      <c r="A26" s="1" t="s">
        <v>0</v>
      </c>
      <c r="B26" s="1" t="s">
        <v>1</v>
      </c>
      <c r="C26" s="1" t="s">
        <v>2</v>
      </c>
      <c r="D26" s="1" t="s">
        <v>3</v>
      </c>
      <c r="E26" s="4" t="s">
        <v>12</v>
      </c>
      <c r="F26" s="27" t="s">
        <v>22</v>
      </c>
      <c r="J26" s="18" t="s">
        <v>3</v>
      </c>
      <c r="K26" s="54" t="s">
        <v>19</v>
      </c>
      <c r="L26" s="43" t="str">
        <f>L7</f>
        <v>PY17 &amp; FY18 Actual</v>
      </c>
      <c r="M26" s="24" t="s">
        <v>24</v>
      </c>
      <c r="N26" s="24" t="s">
        <v>23</v>
      </c>
      <c r="P26" s="43" t="s">
        <v>38</v>
      </c>
      <c r="Q26" s="47" t="s">
        <v>37</v>
      </c>
      <c r="R26" s="42" t="s">
        <v>31</v>
      </c>
      <c r="S26" s="42" t="s">
        <v>34</v>
      </c>
      <c r="T26" s="42" t="s">
        <v>35</v>
      </c>
      <c r="V26" s="37" t="str">
        <f>V7</f>
        <v>PY18</v>
      </c>
      <c r="W26" s="102" t="str">
        <f>W7</f>
        <v>FY19 Actual</v>
      </c>
      <c r="X26" s="35" t="s">
        <v>87</v>
      </c>
    </row>
    <row r="27" spans="1:24" ht="12.75" customHeight="1" x14ac:dyDescent="0.25">
      <c r="A27" s="2" t="s">
        <v>5</v>
      </c>
      <c r="B27" s="2" t="s">
        <v>6</v>
      </c>
      <c r="C27" s="2">
        <v>56</v>
      </c>
      <c r="D27" s="2" t="s">
        <v>7</v>
      </c>
      <c r="E27" s="5">
        <f>34063*0.04</f>
        <v>1362.52</v>
      </c>
      <c r="F27" s="17">
        <f t="shared" ref="F27:F32" si="12">E27/E$32</f>
        <v>0.14946467749012723</v>
      </c>
      <c r="J27" s="2" t="s">
        <v>7</v>
      </c>
      <c r="K27" s="55">
        <f>'Sara Ballard eml 6-5-18'!Q5*0.04</f>
        <v>7554.1480692834621</v>
      </c>
      <c r="L27" s="45">
        <v>8622.4279999999999</v>
      </c>
      <c r="M27" s="8">
        <f t="shared" ref="M27:M32" si="13">K27-L27</f>
        <v>-1068.2799307165378</v>
      </c>
      <c r="N27" s="9">
        <f t="shared" ref="N27:N32" si="14">-1+(K27/L27)</f>
        <v>-0.12389548868561595</v>
      </c>
      <c r="P27" s="45">
        <v>6979.96</v>
      </c>
      <c r="Q27" s="31">
        <v>6776.4679999999998</v>
      </c>
      <c r="R27" s="8">
        <v>5304.4</v>
      </c>
      <c r="S27" s="8">
        <v>4807.5999999999995</v>
      </c>
      <c r="T27" s="25">
        <v>1270</v>
      </c>
      <c r="V27" s="6"/>
      <c r="W27" s="103">
        <f>K27-V27-0.48</f>
        <v>7553.6680692834625</v>
      </c>
      <c r="X27" s="6">
        <f>V27+W27</f>
        <v>7553.6680692834625</v>
      </c>
    </row>
    <row r="28" spans="1:24" ht="12.75" customHeight="1" x14ac:dyDescent="0.25">
      <c r="A28" s="2" t="s">
        <v>5</v>
      </c>
      <c r="B28" s="2" t="s">
        <v>6</v>
      </c>
      <c r="C28" s="2">
        <v>58</v>
      </c>
      <c r="D28" s="2" t="s">
        <v>8</v>
      </c>
      <c r="E28" s="5">
        <f>14585*0.04</f>
        <v>583.4</v>
      </c>
      <c r="F28" s="17">
        <f t="shared" si="12"/>
        <v>6.399736726634489E-2</v>
      </c>
      <c r="J28" s="2" t="s">
        <v>8</v>
      </c>
      <c r="K28" s="55">
        <f>'Sara Ballard eml 6-5-18'!Q6*0.04</f>
        <v>3908.0299431410194</v>
      </c>
      <c r="L28" s="45">
        <v>3691.6480000000001</v>
      </c>
      <c r="M28" s="8">
        <f t="shared" si="13"/>
        <v>216.38194314101929</v>
      </c>
      <c r="N28" s="9">
        <f t="shared" si="14"/>
        <v>5.861391528689075E-2</v>
      </c>
      <c r="P28" s="45">
        <v>3044.95</v>
      </c>
      <c r="Q28" s="31">
        <v>2736.0960000000005</v>
      </c>
      <c r="R28" s="8">
        <v>2617.1999999999998</v>
      </c>
      <c r="S28" s="8">
        <v>1628.8</v>
      </c>
      <c r="T28" s="25">
        <v>1837</v>
      </c>
      <c r="V28" s="6"/>
      <c r="W28" s="103">
        <f t="shared" ref="W28:W29" si="15">K28-V28</f>
        <v>3908.0299431410194</v>
      </c>
      <c r="X28" s="6">
        <f t="shared" ref="X28:X31" si="16">V28+W28</f>
        <v>3908.0299431410194</v>
      </c>
    </row>
    <row r="29" spans="1:24" ht="12.75" customHeight="1" x14ac:dyDescent="0.25">
      <c r="A29" s="2" t="s">
        <v>5</v>
      </c>
      <c r="B29" s="2" t="s">
        <v>6</v>
      </c>
      <c r="C29" s="2">
        <v>61</v>
      </c>
      <c r="D29" s="2" t="s">
        <v>9</v>
      </c>
      <c r="E29" s="5">
        <f>12074*0.04</f>
        <v>482.96000000000004</v>
      </c>
      <c r="F29" s="17">
        <f t="shared" si="12"/>
        <v>5.2979376919701629E-2</v>
      </c>
      <c r="J29" s="2" t="s">
        <v>9</v>
      </c>
      <c r="K29" s="55">
        <f>'Sara Ballard eml 6-5-18'!Q7*0.04</f>
        <v>3338.778648922264</v>
      </c>
      <c r="L29" s="45">
        <v>3056.2640000000001</v>
      </c>
      <c r="M29" s="8">
        <f t="shared" si="13"/>
        <v>282.51464892226386</v>
      </c>
      <c r="N29" s="9">
        <f t="shared" si="14"/>
        <v>9.2437907498260641E-2</v>
      </c>
      <c r="P29" s="45">
        <v>2332.54</v>
      </c>
      <c r="Q29" s="31">
        <v>2299.6760000000004</v>
      </c>
      <c r="R29" s="8">
        <v>2155.6</v>
      </c>
      <c r="S29" s="8">
        <v>1252.4000000000001</v>
      </c>
      <c r="T29" s="25">
        <v>1452</v>
      </c>
      <c r="V29" s="6"/>
      <c r="W29" s="103">
        <f t="shared" si="15"/>
        <v>3338.778648922264</v>
      </c>
      <c r="X29" s="6">
        <f t="shared" si="16"/>
        <v>3338.778648922264</v>
      </c>
    </row>
    <row r="30" spans="1:24" ht="12.75" customHeight="1" x14ac:dyDescent="0.25">
      <c r="A30" s="2" t="s">
        <v>5</v>
      </c>
      <c r="B30" s="2" t="s">
        <v>6</v>
      </c>
      <c r="C30" s="2">
        <v>84</v>
      </c>
      <c r="D30" s="2" t="s">
        <v>10</v>
      </c>
      <c r="E30" s="5">
        <f>30429*0.04</f>
        <v>1217.1600000000001</v>
      </c>
      <c r="F30" s="17">
        <f t="shared" si="12"/>
        <v>0.13351908731899956</v>
      </c>
      <c r="J30" s="2" t="s">
        <v>10</v>
      </c>
      <c r="K30" s="55">
        <f>'Sara Ballard eml 6-5-18'!Q8*0.04</f>
        <v>9824.8361513837026</v>
      </c>
      <c r="L30" s="45">
        <v>7702.5</v>
      </c>
      <c r="M30" s="8">
        <f t="shared" si="13"/>
        <v>2122.3361513837026</v>
      </c>
      <c r="N30" s="9">
        <f t="shared" si="14"/>
        <v>0.27553861102027954</v>
      </c>
      <c r="P30" s="45">
        <v>6123.6900000000005</v>
      </c>
      <c r="Q30" s="31">
        <v>5968.1600000000008</v>
      </c>
      <c r="R30" s="8">
        <v>4754</v>
      </c>
      <c r="S30" s="8">
        <v>2608</v>
      </c>
      <c r="T30" s="25">
        <v>4537</v>
      </c>
      <c r="V30" s="6"/>
      <c r="W30" s="103">
        <f>K30-V30-0.01</f>
        <v>9824.8261513837024</v>
      </c>
      <c r="X30" s="6">
        <f t="shared" si="16"/>
        <v>9824.8261513837024</v>
      </c>
    </row>
    <row r="31" spans="1:24" ht="12.75" customHeight="1" thickBot="1" x14ac:dyDescent="0.3">
      <c r="A31" s="3"/>
      <c r="B31" s="3"/>
      <c r="C31" s="3"/>
      <c r="D31" s="2" t="s">
        <v>11</v>
      </c>
      <c r="E31" s="5">
        <f>(91151*0.06)+0.9</f>
        <v>5469.9599999999991</v>
      </c>
      <c r="F31" s="17">
        <f t="shared" si="12"/>
        <v>0.60003949100482656</v>
      </c>
      <c r="J31" s="2" t="s">
        <v>11</v>
      </c>
      <c r="K31" s="55">
        <f>'Sara Ballard eml 6-5-18'!Q9*0.06</f>
        <v>36938.689219095671</v>
      </c>
      <c r="L31" s="45">
        <v>34610.160000000003</v>
      </c>
      <c r="M31" s="8">
        <f t="shared" si="13"/>
        <v>2328.5292190956679</v>
      </c>
      <c r="N31" s="9">
        <f t="shared" si="14"/>
        <v>6.7278776494984927E-2</v>
      </c>
      <c r="P31" s="45">
        <v>27718.86</v>
      </c>
      <c r="Q31" s="31">
        <v>26670.6</v>
      </c>
      <c r="R31" s="8">
        <v>22249.8</v>
      </c>
      <c r="S31" s="8">
        <v>15445.2</v>
      </c>
      <c r="T31" s="25">
        <v>13644</v>
      </c>
      <c r="V31" s="6">
        <v>10735</v>
      </c>
      <c r="W31" s="103">
        <f>K31-V31</f>
        <v>26203.689219095671</v>
      </c>
      <c r="X31" s="6">
        <f t="shared" si="16"/>
        <v>36938.689219095671</v>
      </c>
    </row>
    <row r="32" spans="1:24" ht="12.75" customHeight="1" thickBot="1" x14ac:dyDescent="0.3">
      <c r="D32" s="21" t="s">
        <v>17</v>
      </c>
      <c r="E32" s="16">
        <f>SUM(E27:E31)</f>
        <v>9116</v>
      </c>
      <c r="F32" s="17">
        <f t="shared" si="12"/>
        <v>1</v>
      </c>
      <c r="K32" s="56">
        <f>SUM(K27:K31)</f>
        <v>61564.482031826119</v>
      </c>
      <c r="L32" s="45">
        <f>SUM(L27:L31)</f>
        <v>57683</v>
      </c>
      <c r="M32" s="8">
        <f t="shared" si="13"/>
        <v>3881.4820318261191</v>
      </c>
      <c r="N32" s="9">
        <f t="shared" si="14"/>
        <v>6.7289877985301061E-2</v>
      </c>
      <c r="P32" s="45">
        <f>SUM(P27:P31)</f>
        <v>46200</v>
      </c>
      <c r="Q32" s="31">
        <f>SUM(Q27:Q31)</f>
        <v>44451</v>
      </c>
      <c r="R32" s="11">
        <f>SUM(R27:R31)</f>
        <v>37081</v>
      </c>
      <c r="S32" s="11">
        <f>SUM(S27:S31)</f>
        <v>25742</v>
      </c>
      <c r="T32" s="26">
        <f>SUM(T27:T31)</f>
        <v>22740</v>
      </c>
      <c r="V32" s="34">
        <f t="shared" ref="V32" si="17">SUM(V27:V31)</f>
        <v>10735</v>
      </c>
      <c r="W32" s="104">
        <f>SUM(W27:W31)+0.01</f>
        <v>50829.002031826123</v>
      </c>
      <c r="X32" s="34">
        <f>SUM(X27:X31)</f>
        <v>61563.992031826121</v>
      </c>
    </row>
    <row r="33" spans="1:25" ht="12.75" customHeight="1" x14ac:dyDescent="0.25">
      <c r="D33" s="3"/>
      <c r="K33" s="32"/>
      <c r="M33" s="13"/>
      <c r="N33" s="14"/>
      <c r="Q33" s="32"/>
      <c r="R33" s="13"/>
      <c r="S33" s="13"/>
      <c r="W33" s="105">
        <f>W30+W31</f>
        <v>36028.515370479377</v>
      </c>
    </row>
    <row r="34" spans="1:25" ht="12.75" customHeight="1" thickBot="1" x14ac:dyDescent="0.3">
      <c r="D34" s="3"/>
      <c r="K34" s="32"/>
      <c r="M34" s="13"/>
      <c r="N34" s="14"/>
      <c r="Q34" s="32"/>
      <c r="R34" s="13"/>
      <c r="S34" s="13"/>
    </row>
    <row r="35" spans="1:25" ht="18" customHeight="1" thickBot="1" x14ac:dyDescent="0.35">
      <c r="D35" s="22" t="str">
        <f>D41</f>
        <v xml:space="preserve">DW </v>
      </c>
      <c r="J35" s="7" t="s">
        <v>18</v>
      </c>
      <c r="K35" s="56">
        <f>601187*0.9</f>
        <v>541068.30000000005</v>
      </c>
      <c r="Q35" s="32"/>
      <c r="V35" s="96">
        <v>96617</v>
      </c>
    </row>
    <row r="36" spans="1:25" ht="40.5" customHeight="1" thickBot="1" x14ac:dyDescent="0.35">
      <c r="A36" s="1" t="s">
        <v>0</v>
      </c>
      <c r="B36" s="1" t="s">
        <v>1</v>
      </c>
      <c r="C36" s="1" t="s">
        <v>2</v>
      </c>
      <c r="D36" s="1" t="s">
        <v>3</v>
      </c>
      <c r="E36" s="4" t="s">
        <v>12</v>
      </c>
      <c r="F36" s="27" t="s">
        <v>22</v>
      </c>
      <c r="J36" s="18" t="s">
        <v>3</v>
      </c>
      <c r="K36" s="54" t="s">
        <v>19</v>
      </c>
      <c r="L36" s="43" t="str">
        <f>L7</f>
        <v>PY17 &amp; FY18 Actual</v>
      </c>
      <c r="M36" s="24" t="s">
        <v>24</v>
      </c>
      <c r="N36" s="24" t="s">
        <v>23</v>
      </c>
      <c r="P36" s="43" t="s">
        <v>38</v>
      </c>
      <c r="Q36" s="47" t="s">
        <v>37</v>
      </c>
      <c r="R36" s="42" t="s">
        <v>31</v>
      </c>
      <c r="S36" s="42" t="s">
        <v>34</v>
      </c>
      <c r="T36" s="42" t="s">
        <v>35</v>
      </c>
      <c r="V36" s="37" t="str">
        <f>V7</f>
        <v>PY18</v>
      </c>
      <c r="W36" s="102" t="str">
        <f>W17</f>
        <v>FY19 Actual</v>
      </c>
      <c r="X36" s="35" t="s">
        <v>87</v>
      </c>
    </row>
    <row r="37" spans="1:25" ht="12.75" customHeight="1" x14ac:dyDescent="0.25">
      <c r="A37" s="2" t="s">
        <v>5</v>
      </c>
      <c r="B37" s="2" t="s">
        <v>6</v>
      </c>
      <c r="C37" s="2">
        <v>56</v>
      </c>
      <c r="D37" s="2" t="s">
        <v>7</v>
      </c>
      <c r="E37" s="5">
        <v>30657.51</v>
      </c>
      <c r="F37" s="17">
        <f>E37/E$41</f>
        <v>0.37371256171146461</v>
      </c>
      <c r="J37" s="2" t="s">
        <v>7</v>
      </c>
      <c r="K37" s="55">
        <f>'Sara Ballard eml 6-5-18'!Q5*0.9</f>
        <v>169968.33155887789</v>
      </c>
      <c r="L37" s="45">
        <v>194000.71000000002</v>
      </c>
      <c r="M37" s="8">
        <f>K37-L37</f>
        <v>-24032.378441122128</v>
      </c>
      <c r="N37" s="9">
        <f>-1+(K37/L37)</f>
        <v>-0.12387778602007238</v>
      </c>
      <c r="P37" s="45">
        <v>157036.51</v>
      </c>
      <c r="Q37" s="31">
        <v>152464.54999999999</v>
      </c>
      <c r="R37" s="8">
        <v>119359</v>
      </c>
      <c r="S37" s="8">
        <v>108168</v>
      </c>
      <c r="T37" s="25">
        <v>28583</v>
      </c>
      <c r="V37" s="6">
        <f>(K37/K$41)*V$35</f>
        <v>29637.994990059982</v>
      </c>
      <c r="W37" s="103">
        <f t="shared" ref="W37:W39" si="18">K37-V37</f>
        <v>140330.3365688179</v>
      </c>
      <c r="X37" s="6">
        <f>V37+W37</f>
        <v>169968.33155887789</v>
      </c>
    </row>
    <row r="38" spans="1:25" ht="12.75" customHeight="1" x14ac:dyDescent="0.25">
      <c r="A38" s="2" t="s">
        <v>5</v>
      </c>
      <c r="B38" s="2" t="s">
        <v>6</v>
      </c>
      <c r="C38" s="2">
        <v>58</v>
      </c>
      <c r="D38" s="2" t="s">
        <v>8</v>
      </c>
      <c r="E38" s="5">
        <v>13125.43</v>
      </c>
      <c r="F38" s="17">
        <f>E38/E$41</f>
        <v>0.15999792771378071</v>
      </c>
      <c r="J38" s="2" t="s">
        <v>8</v>
      </c>
      <c r="K38" s="55">
        <f>'Sara Ballard eml 6-5-18'!Q6*0.9</f>
        <v>87930.67372067293</v>
      </c>
      <c r="L38" s="45">
        <v>83063.359999999986</v>
      </c>
      <c r="M38" s="8">
        <f>K38-L38</f>
        <v>4867.3137206729443</v>
      </c>
      <c r="N38" s="9">
        <f>-1+(K38/L38)</f>
        <v>5.859760212773657E-2</v>
      </c>
      <c r="P38" s="45">
        <v>68508.66</v>
      </c>
      <c r="Q38" s="31">
        <v>61567.9</v>
      </c>
      <c r="R38" s="8">
        <v>58892</v>
      </c>
      <c r="S38" s="8">
        <v>36638</v>
      </c>
      <c r="T38" s="25">
        <v>41330</v>
      </c>
      <c r="V38" s="6">
        <f t="shared" ref="V38:V40" si="19">(K38/K$41)*V$35</f>
        <v>15332.790781105839</v>
      </c>
      <c r="W38" s="103">
        <f t="shared" si="18"/>
        <v>72597.882939567091</v>
      </c>
      <c r="X38" s="6">
        <f t="shared" ref="X38:X40" si="20">V38+W38</f>
        <v>87930.67372067293</v>
      </c>
    </row>
    <row r="39" spans="1:25" ht="12.75" customHeight="1" x14ac:dyDescent="0.25">
      <c r="A39" s="2" t="s">
        <v>5</v>
      </c>
      <c r="B39" s="2" t="s">
        <v>6</v>
      </c>
      <c r="C39" s="2">
        <v>61</v>
      </c>
      <c r="D39" s="2" t="s">
        <v>9</v>
      </c>
      <c r="E39" s="5">
        <v>10866.66</v>
      </c>
      <c r="F39" s="17">
        <f>E39/E$41</f>
        <v>0.13246370451636497</v>
      </c>
      <c r="J39" s="2" t="s">
        <v>9</v>
      </c>
      <c r="K39" s="55">
        <f>'Sara Ballard eml 6-5-18'!Q7*0.9</f>
        <v>75122.519600750951</v>
      </c>
      <c r="L39" s="45">
        <v>68763.22</v>
      </c>
      <c r="M39" s="8">
        <f>K39-L39</f>
        <v>6359.29960075095</v>
      </c>
      <c r="N39" s="9">
        <f>-1+(K39/L39)</f>
        <v>9.2481120005010631E-2</v>
      </c>
      <c r="P39" s="45">
        <v>52464.71</v>
      </c>
      <c r="Q39" s="31">
        <v>51740.75</v>
      </c>
      <c r="R39" s="8">
        <v>48509</v>
      </c>
      <c r="S39" s="8">
        <v>28172</v>
      </c>
      <c r="T39" s="25">
        <v>32670</v>
      </c>
      <c r="V39" s="6">
        <f t="shared" si="19"/>
        <v>13099.386451272396</v>
      </c>
      <c r="W39" s="103">
        <f t="shared" si="18"/>
        <v>62023.133149478555</v>
      </c>
      <c r="X39" s="6">
        <f t="shared" si="20"/>
        <v>75122.519600750951</v>
      </c>
    </row>
    <row r="40" spans="1:25" ht="12.75" customHeight="1" thickBot="1" x14ac:dyDescent="0.3">
      <c r="A40" s="2" t="s">
        <v>5</v>
      </c>
      <c r="B40" s="2" t="s">
        <v>6</v>
      </c>
      <c r="C40" s="2">
        <v>84</v>
      </c>
      <c r="D40" s="2" t="s">
        <v>10</v>
      </c>
      <c r="E40" s="5">
        <v>27385.4</v>
      </c>
      <c r="F40" s="17">
        <f>E40/E$41</f>
        <v>0.33382580605838974</v>
      </c>
      <c r="J40" s="2" t="s">
        <v>10</v>
      </c>
      <c r="K40" s="55">
        <f>'Sara Ballard eml 6-5-18'!Q8*0.9</f>
        <v>221058.8134061333</v>
      </c>
      <c r="L40" s="45">
        <v>173301.71</v>
      </c>
      <c r="M40" s="46">
        <f>K40-L40</f>
        <v>47757.103406133305</v>
      </c>
      <c r="N40" s="9">
        <f>-1+(K40/L40)</f>
        <v>0.27557202641643475</v>
      </c>
      <c r="P40" s="45">
        <v>137771.12</v>
      </c>
      <c r="Q40" s="50">
        <v>134289.79999999999</v>
      </c>
      <c r="R40" s="8">
        <v>106973</v>
      </c>
      <c r="S40" s="8">
        <v>58678</v>
      </c>
      <c r="T40" s="25">
        <v>102070</v>
      </c>
      <c r="V40" s="6">
        <f t="shared" si="19"/>
        <v>38546.827777561768</v>
      </c>
      <c r="W40" s="103">
        <f>K40-V40+0.66</f>
        <v>182512.64562857154</v>
      </c>
      <c r="X40" s="6">
        <f t="shared" si="20"/>
        <v>221059.4734061333</v>
      </c>
    </row>
    <row r="41" spans="1:25" ht="12.75" customHeight="1" thickBot="1" x14ac:dyDescent="0.3">
      <c r="D41" s="21" t="s">
        <v>18</v>
      </c>
      <c r="E41" s="16">
        <f>SUM(E37:E40)</f>
        <v>82035</v>
      </c>
      <c r="F41" s="17">
        <f>E41/E$41</f>
        <v>1</v>
      </c>
      <c r="K41" s="57">
        <f>SUM(K37:K40)</f>
        <v>554080.33828643512</v>
      </c>
      <c r="L41" s="45">
        <f>SUM(L37:L40)</f>
        <v>519129</v>
      </c>
      <c r="M41" s="44">
        <f t="shared" ref="M41" si="21">SUM(M37:M40)</f>
        <v>34951.338286435071</v>
      </c>
      <c r="N41" s="39">
        <f>-1+(K41/L41)</f>
        <v>6.7326884621038641E-2</v>
      </c>
      <c r="P41" s="45">
        <f>SUM(P37:P40)</f>
        <v>415781</v>
      </c>
      <c r="Q41" s="31">
        <f t="shared" ref="Q41" si="22">SUM(Q37:Q40)</f>
        <v>400062.99999999994</v>
      </c>
      <c r="R41" s="11">
        <f>SUM(R37:R40)</f>
        <v>333733</v>
      </c>
      <c r="S41" s="11">
        <f>SUM(S37:S40)</f>
        <v>231656</v>
      </c>
      <c r="T41" s="26">
        <f>SUM(T37:T40)</f>
        <v>204653</v>
      </c>
      <c r="V41" s="34">
        <f>SUM(V37:V40)</f>
        <v>96616.999999999985</v>
      </c>
      <c r="W41" s="104">
        <f>SUM(W37:W40)</f>
        <v>457463.99828643503</v>
      </c>
      <c r="X41" s="58">
        <f>SUM(X37:X40)</f>
        <v>554080.99828643515</v>
      </c>
    </row>
    <row r="42" spans="1:25" ht="12.75" customHeight="1" x14ac:dyDescent="0.25">
      <c r="D42" s="3"/>
      <c r="E42" s="6">
        <f>E41+E32</f>
        <v>91151</v>
      </c>
      <c r="K42" s="32">
        <f>+K32+K41</f>
        <v>615644.82031826128</v>
      </c>
      <c r="L42" s="13"/>
      <c r="M42" s="13"/>
      <c r="N42" s="14"/>
      <c r="P42" s="13"/>
      <c r="Q42" s="32">
        <f>Q41+Q32</f>
        <v>444513.99999999994</v>
      </c>
      <c r="R42" s="13"/>
      <c r="S42" s="13"/>
      <c r="V42" s="6">
        <f t="shared" ref="V42" si="23">K42-E42</f>
        <v>524493.82031826128</v>
      </c>
    </row>
    <row r="43" spans="1:25" ht="12.75" customHeight="1" x14ac:dyDescent="0.25">
      <c r="D43" s="23" t="s">
        <v>29</v>
      </c>
      <c r="E43" s="3"/>
      <c r="F43"/>
      <c r="K43" s="32"/>
      <c r="Q43" s="32"/>
    </row>
    <row r="44" spans="1:25" ht="12.75" hidden="1" customHeight="1" x14ac:dyDescent="0.25">
      <c r="D44" t="s">
        <v>14</v>
      </c>
      <c r="E44"/>
      <c r="F44"/>
      <c r="K44" s="32"/>
      <c r="Q44" s="32"/>
    </row>
    <row r="45" spans="1:25" ht="12.75" hidden="1" customHeight="1" x14ac:dyDescent="0.25">
      <c r="A45" s="1" t="s">
        <v>0</v>
      </c>
      <c r="B45" s="1" t="s">
        <v>1</v>
      </c>
      <c r="C45" s="1" t="s">
        <v>2</v>
      </c>
      <c r="E45"/>
      <c r="F45"/>
      <c r="K45" s="32"/>
      <c r="Q45" s="32"/>
    </row>
    <row r="46" spans="1:25" ht="17.25" customHeight="1" x14ac:dyDescent="0.3">
      <c r="A46" s="2" t="s">
        <v>5</v>
      </c>
      <c r="B46" s="2" t="s">
        <v>6</v>
      </c>
      <c r="C46" s="2">
        <v>56</v>
      </c>
      <c r="D46" t="str">
        <f>D53</f>
        <v xml:space="preserve">Youth Adm </v>
      </c>
      <c r="F46"/>
      <c r="J46" s="7" t="s">
        <v>70</v>
      </c>
      <c r="K46" s="32"/>
      <c r="Q46" s="32"/>
    </row>
    <row r="47" spans="1:25" ht="12.75" customHeight="1" x14ac:dyDescent="0.25">
      <c r="A47" s="2" t="s">
        <v>5</v>
      </c>
      <c r="B47" s="2" t="s">
        <v>6</v>
      </c>
      <c r="C47" s="2">
        <v>58</v>
      </c>
      <c r="D47" s="1" t="s">
        <v>3</v>
      </c>
      <c r="E47" s="4" t="s">
        <v>12</v>
      </c>
      <c r="F47"/>
      <c r="J47" s="18" t="s">
        <v>3</v>
      </c>
      <c r="K47" s="51" t="s">
        <v>46</v>
      </c>
      <c r="L47" s="51" t="s">
        <v>43</v>
      </c>
      <c r="M47" s="24" t="s">
        <v>24</v>
      </c>
      <c r="N47" s="24" t="s">
        <v>23</v>
      </c>
      <c r="P47" s="51" t="s">
        <v>36</v>
      </c>
      <c r="Q47" s="51" t="s">
        <v>30</v>
      </c>
      <c r="R47" s="36" t="s">
        <v>20</v>
      </c>
      <c r="S47" s="36" t="s">
        <v>33</v>
      </c>
      <c r="T47" s="33" t="s">
        <v>21</v>
      </c>
      <c r="W47" s="107"/>
    </row>
    <row r="48" spans="1:25" ht="12.75" customHeight="1" x14ac:dyDescent="0.25">
      <c r="A48" s="2" t="s">
        <v>5</v>
      </c>
      <c r="B48" s="2" t="s">
        <v>6</v>
      </c>
      <c r="C48" s="2">
        <v>61</v>
      </c>
      <c r="D48" s="2" t="s">
        <v>7</v>
      </c>
      <c r="E48" s="5">
        <f>106335*0.04</f>
        <v>4253.3999999999996</v>
      </c>
      <c r="F48"/>
      <c r="J48" s="2" t="s">
        <v>7</v>
      </c>
      <c r="K48" s="5">
        <f>'Sara Ballard eml 6-5-18'!L5*0.04</f>
        <v>3853.2622609954697</v>
      </c>
      <c r="L48" s="30">
        <v>4253.3999999999996</v>
      </c>
      <c r="M48" s="8">
        <f t="shared" ref="M48:M53" si="24">K48-L48</f>
        <v>-400.13773900452998</v>
      </c>
      <c r="N48" s="9">
        <f t="shared" ref="N48:N53" si="25">-1+(K48/L48)</f>
        <v>-9.4074796399240657E-2</v>
      </c>
      <c r="P48" s="30">
        <v>2799.01</v>
      </c>
      <c r="Q48" s="30">
        <v>2190.2959999999998</v>
      </c>
      <c r="R48" s="8">
        <v>1442.6440000000002</v>
      </c>
      <c r="S48" s="8">
        <v>1293.8320000000001</v>
      </c>
      <c r="T48" s="29">
        <v>2036</v>
      </c>
      <c r="W48" s="107"/>
      <c r="Y48" s="96">
        <f>K48+X8+X27</f>
        <v>15186.492786865871</v>
      </c>
    </row>
    <row r="49" spans="1:25" ht="12.75" customHeight="1" x14ac:dyDescent="0.25">
      <c r="A49" s="2" t="s">
        <v>5</v>
      </c>
      <c r="B49" s="2" t="s">
        <v>6</v>
      </c>
      <c r="C49" s="2">
        <v>84</v>
      </c>
      <c r="D49" s="2" t="s">
        <v>8</v>
      </c>
      <c r="E49" s="5">
        <f>78693*0.04</f>
        <v>3147.7200000000003</v>
      </c>
      <c r="F49"/>
      <c r="J49" s="2" t="s">
        <v>8</v>
      </c>
      <c r="K49" s="5">
        <f>'Sara Ballard eml 6-5-18'!L6*0.04</f>
        <v>3248.1932610225649</v>
      </c>
      <c r="L49" s="30">
        <v>3147.7200000000003</v>
      </c>
      <c r="M49" s="8">
        <f t="shared" si="24"/>
        <v>100.47326102256466</v>
      </c>
      <c r="N49" s="9">
        <f t="shared" si="25"/>
        <v>3.1919376889483431E-2</v>
      </c>
      <c r="P49" s="30">
        <v>2080.59</v>
      </c>
      <c r="Q49" s="30">
        <v>1943.5160000000001</v>
      </c>
      <c r="R49" s="8">
        <v>1759.3200000000002</v>
      </c>
      <c r="S49" s="8">
        <v>1737.36</v>
      </c>
      <c r="T49" s="30">
        <v>2688</v>
      </c>
      <c r="W49" s="107"/>
      <c r="Y49" s="96">
        <f>K49+X9+X28</f>
        <v>10306.119114106605</v>
      </c>
    </row>
    <row r="50" spans="1:25" ht="12.75" customHeight="1" x14ac:dyDescent="0.25">
      <c r="A50" s="3"/>
      <c r="B50" s="3"/>
      <c r="C50" s="3"/>
      <c r="D50" s="2" t="s">
        <v>9</v>
      </c>
      <c r="E50" s="5">
        <f>64177*0.04</f>
        <v>2567.08</v>
      </c>
      <c r="F50"/>
      <c r="J50" s="2" t="s">
        <v>9</v>
      </c>
      <c r="K50" s="5">
        <f>'Sara Ballard eml 6-5-18'!L7*0.04</f>
        <v>2636.2756834755978</v>
      </c>
      <c r="L50" s="30">
        <v>2567.08</v>
      </c>
      <c r="M50" s="8">
        <f t="shared" si="24"/>
        <v>69.195683475597889</v>
      </c>
      <c r="N50" s="9">
        <f t="shared" si="25"/>
        <v>2.6955016390450615E-2</v>
      </c>
      <c r="P50" s="30">
        <v>1596.86</v>
      </c>
      <c r="Q50" s="30">
        <v>1481.4960000000001</v>
      </c>
      <c r="R50" s="8">
        <v>1488.2280000000001</v>
      </c>
      <c r="S50" s="8">
        <v>1584.924</v>
      </c>
      <c r="T50" s="30">
        <v>1915</v>
      </c>
      <c r="W50" s="107"/>
      <c r="Y50" s="96">
        <f t="shared" ref="Y50:Y53" si="26">K50+X10+X29</f>
        <v>8918.6072807504115</v>
      </c>
    </row>
    <row r="51" spans="1:25" ht="12.75" customHeight="1" x14ac:dyDescent="0.25">
      <c r="D51" s="2" t="s">
        <v>10</v>
      </c>
      <c r="E51" s="5">
        <f>223089*0.04</f>
        <v>8923.56</v>
      </c>
      <c r="F51"/>
      <c r="J51" s="2" t="s">
        <v>10</v>
      </c>
      <c r="K51" s="5">
        <f>'Sara Ballard eml 6-5-18'!L8*0.04</f>
        <v>10775.808739940587</v>
      </c>
      <c r="L51" s="30">
        <v>8923.56</v>
      </c>
      <c r="M51" s="8">
        <f t="shared" si="24"/>
        <v>1852.2487399405873</v>
      </c>
      <c r="N51" s="9">
        <f t="shared" si="25"/>
        <v>0.20756836284404279</v>
      </c>
      <c r="P51" s="30">
        <v>5418.14</v>
      </c>
      <c r="Q51" s="30">
        <v>4796.2920000000004</v>
      </c>
      <c r="R51" s="8">
        <v>4646.2080000000005</v>
      </c>
      <c r="S51" s="8">
        <v>5179.0839999999998</v>
      </c>
      <c r="T51" s="30">
        <v>5158</v>
      </c>
      <c r="Y51" s="96">
        <f t="shared" si="26"/>
        <v>30863.767385598298</v>
      </c>
    </row>
    <row r="52" spans="1:25" ht="12.75" customHeight="1" thickBot="1" x14ac:dyDescent="0.3">
      <c r="D52" s="2" t="s">
        <v>11</v>
      </c>
      <c r="E52" s="5">
        <f>(472294*0.06)-0.4</f>
        <v>28337.239999999998</v>
      </c>
      <c r="F52"/>
      <c r="J52" s="2" t="s">
        <v>11</v>
      </c>
      <c r="K52" s="5">
        <f>'Sara Ballard eml 6-5-18'!L9*0.06</f>
        <v>30770.309918151328</v>
      </c>
      <c r="L52" s="30">
        <v>28337.239999999998</v>
      </c>
      <c r="M52" s="8">
        <f t="shared" si="24"/>
        <v>2433.0699181513301</v>
      </c>
      <c r="N52" s="9">
        <f t="shared" si="25"/>
        <v>8.586121718810058E-2</v>
      </c>
      <c r="P52" s="30">
        <v>17843.399999999998</v>
      </c>
      <c r="Q52" s="52">
        <v>15617.4</v>
      </c>
      <c r="R52" s="8">
        <v>14004.6</v>
      </c>
      <c r="S52" s="8">
        <v>14692.8</v>
      </c>
      <c r="T52" s="30">
        <v>17696</v>
      </c>
      <c r="Y52" s="96">
        <f t="shared" si="26"/>
        <v>97913.859850981768</v>
      </c>
    </row>
    <row r="53" spans="1:25" ht="12.75" customHeight="1" thickBot="1" x14ac:dyDescent="0.3">
      <c r="D53" s="3" t="s">
        <v>27</v>
      </c>
      <c r="E53" s="10">
        <f>SUM(E48:E52)</f>
        <v>47229</v>
      </c>
      <c r="F53"/>
      <c r="K53" s="57">
        <f>SUM(K48:K52)</f>
        <v>51283.84986358555</v>
      </c>
      <c r="L53" s="57">
        <f>SUM(L48:L52)</f>
        <v>47229</v>
      </c>
      <c r="M53" s="11">
        <f t="shared" si="24"/>
        <v>4054.8498635855503</v>
      </c>
      <c r="N53" s="9">
        <f t="shared" si="25"/>
        <v>8.5855086145917747E-2</v>
      </c>
      <c r="P53" s="57">
        <f>SUM(P48:P52)</f>
        <v>29738</v>
      </c>
      <c r="Q53" s="31">
        <f>SUM(Q48:Q52)</f>
        <v>26029</v>
      </c>
      <c r="R53" s="11">
        <f>SUM(R48:R52)</f>
        <v>23341</v>
      </c>
      <c r="S53" s="11">
        <f>SUM(S48:S52)</f>
        <v>24488</v>
      </c>
      <c r="T53" s="31">
        <v>29493</v>
      </c>
      <c r="Y53" s="96">
        <f t="shared" si="26"/>
        <v>163188.84641830294</v>
      </c>
    </row>
    <row r="54" spans="1:25" ht="12.75" customHeight="1" x14ac:dyDescent="0.25">
      <c r="D54" s="3"/>
      <c r="F54"/>
      <c r="K54" s="32"/>
      <c r="L54" s="32"/>
      <c r="P54" s="32"/>
      <c r="Q54" s="32"/>
      <c r="T54" s="32"/>
    </row>
    <row r="55" spans="1:25" ht="12.75" customHeight="1" x14ac:dyDescent="0.25">
      <c r="A55" s="1" t="s">
        <v>0</v>
      </c>
      <c r="B55" s="1" t="s">
        <v>1</v>
      </c>
      <c r="C55" s="1" t="s">
        <v>2</v>
      </c>
      <c r="D55" s="3"/>
      <c r="F55"/>
      <c r="K55" s="32"/>
      <c r="L55" s="32"/>
      <c r="P55" s="32"/>
      <c r="Q55" s="32"/>
      <c r="T55" s="32"/>
    </row>
    <row r="56" spans="1:25" ht="12.75" customHeight="1" x14ac:dyDescent="0.3">
      <c r="A56" s="2" t="s">
        <v>5</v>
      </c>
      <c r="B56" s="2" t="s">
        <v>6</v>
      </c>
      <c r="C56" s="2">
        <v>56</v>
      </c>
      <c r="D56" t="str">
        <f>D62</f>
        <v>Youth Program</v>
      </c>
      <c r="F56"/>
      <c r="J56" s="7" t="s">
        <v>71</v>
      </c>
      <c r="K56" s="32"/>
      <c r="L56" s="32"/>
      <c r="P56" s="32"/>
      <c r="Q56" s="32"/>
      <c r="T56" s="32"/>
    </row>
    <row r="57" spans="1:25" ht="12.75" customHeight="1" x14ac:dyDescent="0.25">
      <c r="A57" s="2" t="s">
        <v>5</v>
      </c>
      <c r="B57" s="2" t="s">
        <v>6</v>
      </c>
      <c r="C57" s="2">
        <v>58</v>
      </c>
      <c r="D57" s="1" t="s">
        <v>3</v>
      </c>
      <c r="E57" s="4" t="s">
        <v>4</v>
      </c>
      <c r="F57"/>
      <c r="G57" s="23" t="s">
        <v>45</v>
      </c>
      <c r="J57" s="18" t="s">
        <v>3</v>
      </c>
      <c r="K57" s="51" t="str">
        <f>K47</f>
        <v>PY18 Final</v>
      </c>
      <c r="L57" s="51" t="str">
        <f>L47</f>
        <v>PY17 Final</v>
      </c>
      <c r="M57" s="24" t="s">
        <v>24</v>
      </c>
      <c r="N57" s="24" t="s">
        <v>23</v>
      </c>
      <c r="P57" s="51" t="str">
        <f>P47</f>
        <v>PY16 Final</v>
      </c>
      <c r="Q57" s="51" t="s">
        <v>30</v>
      </c>
      <c r="R57" s="28" t="str">
        <f>R47</f>
        <v>PY14 Final</v>
      </c>
      <c r="S57" s="36" t="s">
        <v>33</v>
      </c>
      <c r="T57" s="33" t="s">
        <v>21</v>
      </c>
    </row>
    <row r="58" spans="1:25" ht="12.75" customHeight="1" x14ac:dyDescent="0.25">
      <c r="A58" s="2" t="s">
        <v>5</v>
      </c>
      <c r="B58" s="2" t="s">
        <v>6</v>
      </c>
      <c r="C58" s="2">
        <v>61</v>
      </c>
      <c r="D58" s="2" t="s">
        <v>7</v>
      </c>
      <c r="E58" s="5">
        <v>95701.39</v>
      </c>
      <c r="F58"/>
      <c r="G58" s="59" t="s">
        <v>44</v>
      </c>
      <c r="J58" s="2" t="s">
        <v>7</v>
      </c>
      <c r="K58" s="30">
        <f>'Sara Ballard eml 6-5-18'!L5*0.9</f>
        <v>86698.400872398066</v>
      </c>
      <c r="L58" s="30">
        <v>95701.39</v>
      </c>
      <c r="M58" s="8">
        <f>K58-L58</f>
        <v>-9002.9891276019334</v>
      </c>
      <c r="N58" s="9">
        <f>-1+(K58/L58)</f>
        <v>-9.4073755121027336E-2</v>
      </c>
      <c r="P58" s="30">
        <v>62977.34</v>
      </c>
      <c r="Q58" s="30">
        <v>49275.12</v>
      </c>
      <c r="R58" s="8">
        <v>32458.95</v>
      </c>
      <c r="S58" s="8">
        <v>29111.09</v>
      </c>
      <c r="T58" s="29">
        <v>45806</v>
      </c>
    </row>
    <row r="59" spans="1:25" ht="12.75" customHeight="1" x14ac:dyDescent="0.25">
      <c r="A59" s="2" t="s">
        <v>5</v>
      </c>
      <c r="B59" s="2" t="s">
        <v>6</v>
      </c>
      <c r="C59" s="2">
        <v>84</v>
      </c>
      <c r="D59" s="2" t="s">
        <v>8</v>
      </c>
      <c r="E59" s="5">
        <v>70823.56</v>
      </c>
      <c r="F59"/>
      <c r="J59" s="2" t="s">
        <v>8</v>
      </c>
      <c r="K59" s="30">
        <f>'Sara Ballard eml 6-5-18'!L6*0.9</f>
        <v>73084.348373007713</v>
      </c>
      <c r="L59" s="30">
        <v>70823.56</v>
      </c>
      <c r="M59" s="8">
        <f>K59-L59</f>
        <v>2260.7883730077156</v>
      </c>
      <c r="N59" s="9">
        <f>-1+(K59/L59)</f>
        <v>3.1921416729231211E-2</v>
      </c>
      <c r="P59" s="30">
        <v>46824.45</v>
      </c>
      <c r="Q59" s="30">
        <v>43728.45</v>
      </c>
      <c r="R59" s="8">
        <v>39584.300000000003</v>
      </c>
      <c r="S59" s="8">
        <v>39091.47</v>
      </c>
      <c r="T59" s="30">
        <v>60495</v>
      </c>
    </row>
    <row r="60" spans="1:25" ht="12.75" customHeight="1" x14ac:dyDescent="0.25">
      <c r="D60" s="2" t="s">
        <v>9</v>
      </c>
      <c r="E60" s="5">
        <v>57759.56</v>
      </c>
      <c r="F60"/>
      <c r="J60" s="2" t="s">
        <v>9</v>
      </c>
      <c r="K60" s="30">
        <f>'Sara Ballard eml 6-5-18'!L7*0.9</f>
        <v>59316.202878200951</v>
      </c>
      <c r="L60" s="30">
        <v>57759.56</v>
      </c>
      <c r="M60" s="8">
        <f>K60-L60</f>
        <v>1556.6428782009534</v>
      </c>
      <c r="N60" s="9">
        <f>-1+(K60/L60)</f>
        <v>2.6950393635286618E-2</v>
      </c>
      <c r="P60" s="30">
        <v>35937.519999999997</v>
      </c>
      <c r="Q60" s="30">
        <v>33333.94</v>
      </c>
      <c r="R60" s="8">
        <v>33483.57</v>
      </c>
      <c r="S60" s="8">
        <v>35659.57</v>
      </c>
      <c r="T60" s="30">
        <v>43091</v>
      </c>
    </row>
    <row r="61" spans="1:25" ht="13.8" thickBot="1" x14ac:dyDescent="0.3">
      <c r="D61" s="2" t="s">
        <v>10</v>
      </c>
      <c r="E61" s="5">
        <v>200779.49</v>
      </c>
      <c r="F61"/>
      <c r="J61" s="2" t="s">
        <v>10</v>
      </c>
      <c r="K61" s="30">
        <f>'Sara Ballard eml 6-5-18'!L8*0.9</f>
        <v>242455.6966486632</v>
      </c>
      <c r="L61" s="30">
        <v>200779.49</v>
      </c>
      <c r="M61" s="8">
        <f>K61-L61</f>
        <v>41676.20664866321</v>
      </c>
      <c r="N61" s="9">
        <f>-1+(K61/L61)</f>
        <v>0.2075720316286449</v>
      </c>
      <c r="P61" s="30">
        <v>121913.69</v>
      </c>
      <c r="Q61" s="52">
        <v>107921.49</v>
      </c>
      <c r="R61" s="8">
        <v>104539.18</v>
      </c>
      <c r="S61" s="8">
        <v>116527.87</v>
      </c>
      <c r="T61" s="30">
        <v>116044</v>
      </c>
    </row>
    <row r="62" spans="1:25" ht="13.8" thickBot="1" x14ac:dyDescent="0.3">
      <c r="D62" s="3" t="s">
        <v>28</v>
      </c>
      <c r="E62" s="10">
        <f>SUM(E58:E61)</f>
        <v>425064</v>
      </c>
      <c r="F62"/>
      <c r="K62" s="57">
        <f>SUM(K58:K61)-1</f>
        <v>461553.64877226995</v>
      </c>
      <c r="L62" s="57">
        <f>SUM(L58:L61)</f>
        <v>425064</v>
      </c>
      <c r="M62" s="11">
        <f>K62-L62</f>
        <v>36489.648772269953</v>
      </c>
      <c r="N62" s="9">
        <f>-1+(K62/L62)</f>
        <v>8.5845069853645484E-2</v>
      </c>
      <c r="P62" s="57">
        <f>SUM(P58:P61)</f>
        <v>267653</v>
      </c>
      <c r="Q62" s="31">
        <f>SUM(Q58:Q61)</f>
        <v>234259</v>
      </c>
      <c r="R62" s="11">
        <f>SUM(R58:R61)</f>
        <v>210066</v>
      </c>
      <c r="S62" s="11">
        <f>SUM(S58:S61)</f>
        <v>220390</v>
      </c>
      <c r="T62" s="30">
        <v>265436</v>
      </c>
    </row>
    <row r="63" spans="1:25" x14ac:dyDescent="0.25">
      <c r="E63" s="6">
        <f>+E62+E53</f>
        <v>472293</v>
      </c>
      <c r="K63" s="32">
        <f>+K62+K53</f>
        <v>512837.4986358555</v>
      </c>
      <c r="L63" s="32">
        <f>+L62+L53</f>
        <v>472293</v>
      </c>
      <c r="P63" s="32">
        <f>+P62+P53</f>
        <v>297391</v>
      </c>
      <c r="Q63" s="32">
        <f>Q62+Q53</f>
        <v>260288</v>
      </c>
      <c r="T63" s="32"/>
    </row>
    <row r="64" spans="1:25" x14ac:dyDescent="0.25">
      <c r="J64" s="23" t="s">
        <v>26</v>
      </c>
      <c r="K64" s="13">
        <f>K13+K22+K32+K41+K53+K62</f>
        <v>1631896.6641830297</v>
      </c>
      <c r="L64" s="13">
        <f>L13+L22+L32+L41+L53+L62</f>
        <v>1512000</v>
      </c>
      <c r="P64" s="13">
        <f>P13+P22+P32+P41+P53+P62</f>
        <v>1058610</v>
      </c>
      <c r="Q64" s="13">
        <f>Q13+Q22+Q32+Q41+Q53+Q62</f>
        <v>973092.99</v>
      </c>
      <c r="R64" s="13">
        <f>R13+R22+R32+R41+R53+R62</f>
        <v>845539.99</v>
      </c>
      <c r="S64" s="13">
        <f>S13+S22+S32+S41+S53+S62</f>
        <v>745119</v>
      </c>
      <c r="T64" s="13">
        <f>T13+T22+T32+T41+T53+T62</f>
        <v>804617</v>
      </c>
    </row>
    <row r="65" spans="10:19" x14ac:dyDescent="0.25">
      <c r="J65" t="s">
        <v>32</v>
      </c>
      <c r="K65" s="38">
        <f>K64/L64</f>
        <v>1.0792967355707868</v>
      </c>
      <c r="L65" s="38">
        <f>L64/P64</f>
        <v>1.428288038087681</v>
      </c>
      <c r="P65" s="38">
        <f>P64/Q64</f>
        <v>1.0878816422261968</v>
      </c>
      <c r="Q65" s="38">
        <f>Q64/R64</f>
        <v>1.1508538939713544</v>
      </c>
      <c r="R65" s="38">
        <f>R64/S64</f>
        <v>1.1347717478684614</v>
      </c>
      <c r="S65" s="38">
        <f>S64/T64</f>
        <v>0.92605425935569341</v>
      </c>
    </row>
  </sheetData>
  <mergeCells count="1">
    <mergeCell ref="S1:T1"/>
  </mergeCells>
  <phoneticPr fontId="6" type="noConversion"/>
  <pageMargins left="0.75" right="0.75" top="1" bottom="1" header="0.5" footer="0.5"/>
  <pageSetup scale="51" orientation="portrait" horizontalDpi="300" verticalDpi="30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S65"/>
  <sheetViews>
    <sheetView topLeftCell="J39" zoomScaleNormal="100" workbookViewId="0">
      <selection activeCell="U66" sqref="U66"/>
    </sheetView>
  </sheetViews>
  <sheetFormatPr defaultColWidth="9.109375" defaultRowHeight="13.2" x14ac:dyDescent="0.25"/>
  <cols>
    <col min="1" max="1" width="16.44140625" hidden="1" customWidth="1"/>
    <col min="2" max="2" width="22.5546875" hidden="1" customWidth="1"/>
    <col min="3" max="3" width="7.33203125" hidden="1" customWidth="1"/>
    <col min="4" max="4" width="15.44140625" hidden="1" customWidth="1"/>
    <col min="5" max="5" width="16.44140625" style="6" hidden="1" customWidth="1"/>
    <col min="6" max="6" width="15.33203125" style="6" hidden="1" customWidth="1"/>
    <col min="7" max="7" width="10.109375" hidden="1" customWidth="1"/>
    <col min="8" max="9" width="0" hidden="1" customWidth="1"/>
    <col min="10" max="10" width="15.6640625" customWidth="1"/>
    <col min="11" max="11" width="16.33203125" hidden="1" customWidth="1"/>
    <col min="12" max="12" width="11.33203125" customWidth="1"/>
    <col min="13" max="14" width="10.5546875" customWidth="1"/>
    <col min="15" max="15" width="12.109375" customWidth="1"/>
    <col min="16" max="16" width="14.44140625" hidden="1" customWidth="1"/>
    <col min="17" max="17" width="12" hidden="1" customWidth="1"/>
    <col min="18" max="18" width="14.109375" hidden="1" customWidth="1"/>
    <col min="19" max="19" width="11.33203125" hidden="1" customWidth="1"/>
  </cols>
  <sheetData>
    <row r="1" spans="1:19" s="7" customFormat="1" ht="21.6" thickBot="1" x14ac:dyDescent="0.45">
      <c r="D1" s="20" t="s">
        <v>13</v>
      </c>
      <c r="J1" s="15" t="s">
        <v>39</v>
      </c>
      <c r="N1" s="173">
        <f ca="1">NOW()</f>
        <v>44884.557374074073</v>
      </c>
      <c r="O1" s="173"/>
    </row>
    <row r="2" spans="1:19" s="7" customFormat="1" ht="15.6" x14ac:dyDescent="0.3">
      <c r="J2" s="7" t="s">
        <v>47</v>
      </c>
    </row>
    <row r="3" spans="1:19" s="7" customFormat="1" ht="15.6" x14ac:dyDescent="0.3"/>
    <row r="4" spans="1:19" s="7" customFormat="1" ht="16.2" thickBot="1" x14ac:dyDescent="0.35">
      <c r="D4" s="41" t="s">
        <v>48</v>
      </c>
      <c r="F4" s="40"/>
      <c r="J4" s="7" t="s">
        <v>68</v>
      </c>
      <c r="M4" s="92">
        <f>N4+O4</f>
        <v>509.77</v>
      </c>
      <c r="N4" s="91">
        <v>29.7</v>
      </c>
      <c r="O4" s="91">
        <v>480.07</v>
      </c>
    </row>
    <row r="5" spans="1:19" s="7" customFormat="1" ht="16.2" hidden="1" thickBot="1" x14ac:dyDescent="0.35">
      <c r="E5" s="40" t="s">
        <v>49</v>
      </c>
      <c r="J5" s="7" t="s">
        <v>50</v>
      </c>
    </row>
    <row r="6" spans="1:19" ht="13.8" hidden="1" thickBot="1" x14ac:dyDescent="0.3">
      <c r="A6" t="str">
        <f>D13</f>
        <v xml:space="preserve">Adult Adm </v>
      </c>
      <c r="D6" s="22" t="str">
        <f>D13</f>
        <v xml:space="preserve">Adult Adm </v>
      </c>
      <c r="K6" s="53">
        <f>483473*0.1</f>
        <v>48347.3</v>
      </c>
    </row>
    <row r="7" spans="1:19" ht="39" customHeight="1" thickBot="1" x14ac:dyDescent="0.35">
      <c r="A7" s="1" t="s">
        <v>0</v>
      </c>
      <c r="B7" s="1" t="s">
        <v>1</v>
      </c>
      <c r="C7" s="1" t="s">
        <v>2</v>
      </c>
      <c r="D7" s="1" t="s">
        <v>3</v>
      </c>
      <c r="E7" s="4" t="s">
        <v>12</v>
      </c>
      <c r="F7" s="27" t="s">
        <v>22</v>
      </c>
      <c r="J7" s="18" t="s">
        <v>3</v>
      </c>
      <c r="K7" s="54" t="s">
        <v>19</v>
      </c>
      <c r="L7" s="43" t="s">
        <v>81</v>
      </c>
      <c r="M7" s="42" t="s">
        <v>82</v>
      </c>
      <c r="N7" s="42" t="s">
        <v>83</v>
      </c>
      <c r="O7" s="42" t="s">
        <v>84</v>
      </c>
      <c r="P7" s="37" t="s">
        <v>41</v>
      </c>
      <c r="Q7" s="37" t="s">
        <v>42</v>
      </c>
      <c r="R7" s="35" t="s">
        <v>25</v>
      </c>
      <c r="S7" s="43" t="s">
        <v>40</v>
      </c>
    </row>
    <row r="8" spans="1:19" ht="12.75" customHeight="1" x14ac:dyDescent="0.25">
      <c r="A8" s="2" t="s">
        <v>5</v>
      </c>
      <c r="B8" s="2" t="s">
        <v>6</v>
      </c>
      <c r="C8" s="2">
        <v>56</v>
      </c>
      <c r="D8" s="2" t="s">
        <v>7</v>
      </c>
      <c r="E8" s="5">
        <f>'Sara Ballard eml 6-5-18'!G5*0.04</f>
        <v>3779.9924565869383</v>
      </c>
      <c r="F8" s="17">
        <f t="shared" ref="F8:F13" si="0">E8/E$13</f>
        <v>7.5087102551042673E-2</v>
      </c>
      <c r="J8" s="2" t="s">
        <v>7</v>
      </c>
      <c r="K8" s="55">
        <f>'Sara Ballard eml 6-5-18'!G5*0.04</f>
        <v>3779.9924565869383</v>
      </c>
      <c r="L8" s="45">
        <v>4096.2880000000005</v>
      </c>
      <c r="M8" s="93">
        <f>(L8/L$13)*M$4</f>
        <v>45.111467816543893</v>
      </c>
      <c r="N8" s="93"/>
      <c r="O8" s="93">
        <f>M8</f>
        <v>45.111467816543893</v>
      </c>
      <c r="P8" s="6">
        <f>K8-E8</f>
        <v>0</v>
      </c>
      <c r="Q8" s="6"/>
      <c r="R8" s="6">
        <f>Q8-P8</f>
        <v>0</v>
      </c>
      <c r="S8" s="45">
        <f>+Q8+E8</f>
        <v>3779.9924565869383</v>
      </c>
    </row>
    <row r="9" spans="1:19" ht="12.75" customHeight="1" x14ac:dyDescent="0.25">
      <c r="A9" s="2" t="s">
        <v>5</v>
      </c>
      <c r="B9" s="2" t="s">
        <v>6</v>
      </c>
      <c r="C9" s="2">
        <v>58</v>
      </c>
      <c r="D9" s="2" t="s">
        <v>8</v>
      </c>
      <c r="E9" s="5">
        <f>'Sara Ballard eml 6-5-18'!G6*0.04</f>
        <v>3149.895909943019</v>
      </c>
      <c r="F9" s="17">
        <f t="shared" si="0"/>
        <v>6.2570642648466776E-2</v>
      </c>
      <c r="J9" s="2" t="s">
        <v>8</v>
      </c>
      <c r="K9" s="55">
        <f>'Sara Ballard eml 6-5-18'!G6*0.04</f>
        <v>3149.895909943019</v>
      </c>
      <c r="L9" s="45">
        <v>3044.8360000000002</v>
      </c>
      <c r="M9" s="93">
        <f t="shared" ref="M9:M12" si="1">(L9/L$13)*M$4</f>
        <v>33.532071285186547</v>
      </c>
      <c r="N9" s="93"/>
      <c r="O9" s="93">
        <f t="shared" ref="O9:O11" si="2">M9</f>
        <v>33.532071285186547</v>
      </c>
      <c r="P9" s="6">
        <f>K9-E9</f>
        <v>0</v>
      </c>
      <c r="Q9" s="6"/>
      <c r="R9" s="6">
        <f t="shared" ref="R9:R13" si="3">Q9-P9</f>
        <v>0</v>
      </c>
      <c r="S9" s="45">
        <f>+Q9+E9</f>
        <v>3149.895909943019</v>
      </c>
    </row>
    <row r="10" spans="1:19" ht="12.75" customHeight="1" x14ac:dyDescent="0.25">
      <c r="A10" s="2" t="s">
        <v>5</v>
      </c>
      <c r="B10" s="2" t="s">
        <v>6</v>
      </c>
      <c r="C10" s="2">
        <v>61</v>
      </c>
      <c r="D10" s="2" t="s">
        <v>9</v>
      </c>
      <c r="E10" s="5">
        <f>'Sara Ballard eml 6-5-18'!G7*0.04</f>
        <v>2943.5529483525506</v>
      </c>
      <c r="F10" s="17">
        <f t="shared" si="0"/>
        <v>5.8471773326484303E-2</v>
      </c>
      <c r="J10" s="2" t="s">
        <v>9</v>
      </c>
      <c r="K10" s="55">
        <f>'Sara Ballard eml 6-5-18'!G7*0.04</f>
        <v>2943.5529483525506</v>
      </c>
      <c r="L10" s="45">
        <v>2774.6560000000004</v>
      </c>
      <c r="M10" s="93">
        <f t="shared" si="1"/>
        <v>30.556641731728924</v>
      </c>
      <c r="N10" s="93"/>
      <c r="O10" s="93">
        <f t="shared" si="2"/>
        <v>30.556641731728924</v>
      </c>
      <c r="P10" s="6">
        <f>K10-E10</f>
        <v>0</v>
      </c>
      <c r="Q10" s="60"/>
      <c r="R10" s="6">
        <f t="shared" si="3"/>
        <v>0</v>
      </c>
      <c r="S10" s="45">
        <f>+Q10+E10</f>
        <v>2943.5529483525506</v>
      </c>
    </row>
    <row r="11" spans="1:19" ht="12.75" customHeight="1" x14ac:dyDescent="0.25">
      <c r="A11" s="2" t="s">
        <v>5</v>
      </c>
      <c r="B11" s="2" t="s">
        <v>6</v>
      </c>
      <c r="C11" s="2">
        <v>84</v>
      </c>
      <c r="D11" s="2" t="s">
        <v>10</v>
      </c>
      <c r="E11" s="5">
        <f>'Sara Ballard eml 6-5-18'!G8*0.04</f>
        <v>10263.132494274008</v>
      </c>
      <c r="F11" s="17">
        <f t="shared" si="0"/>
        <v>0.2038704814740063</v>
      </c>
      <c r="J11" s="2" t="s">
        <v>10</v>
      </c>
      <c r="K11" s="55">
        <f>'Sara Ballard eml 6-5-18'!G8*0.04</f>
        <v>10263.132494274008</v>
      </c>
      <c r="L11" s="45">
        <v>8599.6200000000008</v>
      </c>
      <c r="M11" s="93">
        <f t="shared" si="1"/>
        <v>94.705616613018208</v>
      </c>
      <c r="N11" s="93"/>
      <c r="O11" s="93">
        <f t="shared" si="2"/>
        <v>94.705616613018208</v>
      </c>
      <c r="P11" s="6">
        <f>K11-E11</f>
        <v>0</v>
      </c>
      <c r="Q11" s="6"/>
      <c r="R11" s="6">
        <f t="shared" si="3"/>
        <v>0</v>
      </c>
      <c r="S11" s="45">
        <f>+Q11+E11</f>
        <v>10263.132494274008</v>
      </c>
    </row>
    <row r="12" spans="1:19" ht="12.75" customHeight="1" thickBot="1" x14ac:dyDescent="0.3">
      <c r="A12" s="3"/>
      <c r="B12" s="3"/>
      <c r="C12" s="3"/>
      <c r="D12" s="2" t="s">
        <v>11</v>
      </c>
      <c r="E12" s="12">
        <f>'Sara Ballard eml 6-5-18'!G9*0.06</f>
        <v>30204.860713734772</v>
      </c>
      <c r="F12" s="17">
        <f t="shared" si="0"/>
        <v>0.6</v>
      </c>
      <c r="J12" s="2" t="s">
        <v>11</v>
      </c>
      <c r="K12" s="55">
        <f>'Sara Ballard eml 6-5-18'!G9*0.06</f>
        <v>30204.860713734772</v>
      </c>
      <c r="L12" s="45">
        <v>27773.599999999999</v>
      </c>
      <c r="M12" s="93">
        <f t="shared" si="1"/>
        <v>305.86420255352238</v>
      </c>
      <c r="N12" s="93">
        <f>N4</f>
        <v>29.7</v>
      </c>
      <c r="O12" s="93">
        <f>M12-N12</f>
        <v>276.16420255352239</v>
      </c>
      <c r="P12" s="6">
        <f>K12-E12</f>
        <v>0</v>
      </c>
      <c r="Q12" s="6"/>
      <c r="R12" s="6">
        <f t="shared" si="3"/>
        <v>0</v>
      </c>
      <c r="S12" s="45">
        <f>+Q12+E12</f>
        <v>30204.860713734772</v>
      </c>
    </row>
    <row r="13" spans="1:19" ht="12.75" customHeight="1" thickBot="1" x14ac:dyDescent="0.3">
      <c r="D13" s="21" t="s">
        <v>15</v>
      </c>
      <c r="E13" s="49">
        <f>SUM(E8:E12)</f>
        <v>50341.434522891286</v>
      </c>
      <c r="F13" s="48">
        <f t="shared" si="0"/>
        <v>1</v>
      </c>
      <c r="K13" s="56">
        <f>SUM(K8:K12)</f>
        <v>50341.434522891286</v>
      </c>
      <c r="L13" s="11">
        <f>SUM(L8:L12)</f>
        <v>46289</v>
      </c>
      <c r="M13" s="94">
        <f>SUM(M8:M12)</f>
        <v>509.77</v>
      </c>
      <c r="N13" s="93">
        <f>SUM(N8:N12)</f>
        <v>29.7</v>
      </c>
      <c r="O13" s="93">
        <f>SUM(O8:O12)</f>
        <v>480.06999999999994</v>
      </c>
      <c r="P13" s="34">
        <f t="shared" ref="P13:Q13" si="4">SUM(P8:P12)</f>
        <v>0</v>
      </c>
      <c r="Q13" s="34">
        <f t="shared" si="4"/>
        <v>0</v>
      </c>
      <c r="R13" s="34">
        <f t="shared" si="3"/>
        <v>0</v>
      </c>
      <c r="S13" s="45">
        <f>SUM(S8:S12)</f>
        <v>50341.434522891286</v>
      </c>
    </row>
    <row r="14" spans="1:19" ht="12.75" customHeight="1" x14ac:dyDescent="0.25">
      <c r="D14" s="3"/>
      <c r="K14" s="32"/>
      <c r="M14" s="13"/>
      <c r="N14" s="61">
        <f>N4-N13</f>
        <v>0</v>
      </c>
      <c r="O14" s="61">
        <f>O4-O13</f>
        <v>0</v>
      </c>
      <c r="S14" s="6"/>
    </row>
    <row r="15" spans="1:19" ht="17.25" customHeight="1" thickBot="1" x14ac:dyDescent="0.35">
      <c r="D15" s="3"/>
      <c r="J15" s="7" t="s">
        <v>16</v>
      </c>
      <c r="K15" s="32"/>
      <c r="M15" s="99">
        <f>N15+O15</f>
        <v>1822.99</v>
      </c>
      <c r="N15" s="91">
        <v>267.29000000000002</v>
      </c>
      <c r="O15" s="91">
        <v>1555.7</v>
      </c>
    </row>
    <row r="16" spans="1:19" ht="12.75" hidden="1" customHeight="1" thickBot="1" x14ac:dyDescent="0.35">
      <c r="D16" s="22" t="str">
        <f>D22</f>
        <v xml:space="preserve">Adult </v>
      </c>
      <c r="K16" s="53">
        <f>483473*0.9</f>
        <v>435125.7</v>
      </c>
      <c r="N16" s="7"/>
      <c r="O16" s="7"/>
    </row>
    <row r="17" spans="1:19" ht="42" customHeight="1" thickBot="1" x14ac:dyDescent="0.35">
      <c r="A17" s="1" t="s">
        <v>0</v>
      </c>
      <c r="B17" s="1" t="s">
        <v>1</v>
      </c>
      <c r="C17" s="1" t="s">
        <v>2</v>
      </c>
      <c r="D17" s="1" t="s">
        <v>3</v>
      </c>
      <c r="E17" s="4" t="s">
        <v>12</v>
      </c>
      <c r="F17" s="27" t="s">
        <v>22</v>
      </c>
      <c r="J17" s="18" t="s">
        <v>3</v>
      </c>
      <c r="K17" s="54" t="s">
        <v>19</v>
      </c>
      <c r="L17" s="43" t="str">
        <f>L7</f>
        <v>PY17 &amp; FY18 Orignal</v>
      </c>
      <c r="M17" s="42" t="s">
        <v>82</v>
      </c>
      <c r="N17" s="42" t="s">
        <v>83</v>
      </c>
      <c r="O17" s="42" t="s">
        <v>84</v>
      </c>
      <c r="P17" s="37" t="str">
        <f>P7</f>
        <v>FY18 Estimated</v>
      </c>
      <c r="Q17" s="37" t="str">
        <f>Q7</f>
        <v>FY18 Actual</v>
      </c>
      <c r="R17" s="35" t="s">
        <v>25</v>
      </c>
      <c r="S17" s="43" t="str">
        <f>S7</f>
        <v>PY17 &amp; FY18 Actual</v>
      </c>
    </row>
    <row r="18" spans="1:19" ht="12.75" customHeight="1" x14ac:dyDescent="0.25">
      <c r="A18" s="2" t="s">
        <v>5</v>
      </c>
      <c r="B18" s="2" t="s">
        <v>6</v>
      </c>
      <c r="C18" s="2">
        <v>56</v>
      </c>
      <c r="D18" s="2" t="s">
        <v>7</v>
      </c>
      <c r="E18" s="5">
        <f>'Sara Ballard eml 6-5-18'!G5*0.9</f>
        <v>85049.830273206113</v>
      </c>
      <c r="F18" s="17">
        <f>E18/E$22</f>
        <v>0.67305608344458423</v>
      </c>
      <c r="J18" s="2" t="s">
        <v>7</v>
      </c>
      <c r="K18" s="55">
        <f>'Sara Ballard eml 6-5-18'!G5*0.9</f>
        <v>85049.830273206113</v>
      </c>
      <c r="L18" s="45">
        <v>92168.79</v>
      </c>
      <c r="M18" s="93">
        <f>(L18/L$22)*M$15</f>
        <v>403.31340038813653</v>
      </c>
      <c r="N18" s="93">
        <f>N15</f>
        <v>267.29000000000002</v>
      </c>
      <c r="O18" s="93">
        <f>M18-N18</f>
        <v>136.02340038813651</v>
      </c>
      <c r="P18" s="6">
        <f>K18-E18</f>
        <v>0</v>
      </c>
      <c r="Q18" s="6"/>
      <c r="R18" s="6">
        <f>Q18-P18</f>
        <v>0</v>
      </c>
      <c r="S18" s="45">
        <f>+Q18+E18</f>
        <v>85049.830273206113</v>
      </c>
    </row>
    <row r="19" spans="1:19" ht="12.75" customHeight="1" x14ac:dyDescent="0.25">
      <c r="A19" s="2" t="s">
        <v>5</v>
      </c>
      <c r="B19" s="2" t="s">
        <v>6</v>
      </c>
      <c r="C19" s="2">
        <v>58</v>
      </c>
      <c r="D19" s="2" t="s">
        <v>8</v>
      </c>
      <c r="E19" s="5">
        <v>8724.1299999999992</v>
      </c>
      <c r="F19" s="17">
        <f>E19/E$22</f>
        <v>6.9039864634641679E-2</v>
      </c>
      <c r="J19" s="2" t="s">
        <v>8</v>
      </c>
      <c r="K19" s="55">
        <f>'Sara Ballard eml 6-5-18'!G6*0.9</f>
        <v>70872.657973717927</v>
      </c>
      <c r="L19" s="45">
        <v>68509.820000000007</v>
      </c>
      <c r="M19" s="93">
        <f t="shared" ref="M19:M21" si="5">(L19/L$22)*M$15</f>
        <v>299.78616909454018</v>
      </c>
      <c r="N19" s="93"/>
      <c r="O19" s="93">
        <f t="shared" ref="O19:O21" si="6">M19</f>
        <v>299.78616909454018</v>
      </c>
      <c r="P19" s="6">
        <f>K19-E19</f>
        <v>62148.52797371793</v>
      </c>
      <c r="Q19" s="6"/>
      <c r="R19" s="6">
        <f t="shared" ref="R19:R21" si="7">Q19-P19</f>
        <v>-62148.52797371793</v>
      </c>
      <c r="S19" s="45">
        <f>+Q19+E19</f>
        <v>8724.1299999999992</v>
      </c>
    </row>
    <row r="20" spans="1:19" ht="12.75" customHeight="1" x14ac:dyDescent="0.25">
      <c r="A20" s="2" t="s">
        <v>5</v>
      </c>
      <c r="B20" s="2" t="s">
        <v>6</v>
      </c>
      <c r="C20" s="2">
        <v>61</v>
      </c>
      <c r="D20" s="2" t="s">
        <v>9</v>
      </c>
      <c r="E20" s="5">
        <v>7949.48</v>
      </c>
      <c r="F20" s="17">
        <f>E20/E$22</f>
        <v>6.2909542053567677E-2</v>
      </c>
      <c r="J20" s="2" t="s">
        <v>9</v>
      </c>
      <c r="K20" s="55">
        <f>'Sara Ballard eml 6-5-18'!G7*0.9</f>
        <v>66229.941337932396</v>
      </c>
      <c r="L20" s="45">
        <v>62430.770000000004</v>
      </c>
      <c r="M20" s="93">
        <f t="shared" si="5"/>
        <v>273.18538235719126</v>
      </c>
      <c r="N20" s="93"/>
      <c r="O20" s="93">
        <f t="shared" si="6"/>
        <v>273.18538235719126</v>
      </c>
      <c r="P20" s="6">
        <f>K20-E20</f>
        <v>58280.4613379324</v>
      </c>
      <c r="Q20" s="6"/>
      <c r="R20" s="6">
        <f t="shared" si="7"/>
        <v>-58280.4613379324</v>
      </c>
      <c r="S20" s="45">
        <f>+Q20+E20</f>
        <v>7949.48</v>
      </c>
    </row>
    <row r="21" spans="1:19" ht="12.75" customHeight="1" thickBot="1" x14ac:dyDescent="0.3">
      <c r="A21" s="2" t="s">
        <v>5</v>
      </c>
      <c r="B21" s="2" t="s">
        <v>6</v>
      </c>
      <c r="C21" s="2">
        <v>84</v>
      </c>
      <c r="D21" s="2" t="s">
        <v>10</v>
      </c>
      <c r="E21" s="5">
        <v>24640.22</v>
      </c>
      <c r="F21" s="17">
        <f>E21/E$22</f>
        <v>0.19499450986720634</v>
      </c>
      <c r="J21" s="2" t="s">
        <v>10</v>
      </c>
      <c r="K21" s="55">
        <f>'Sara Ballard eml 6-5-18'!G8*0.9</f>
        <v>230920.48112116518</v>
      </c>
      <c r="L21" s="45">
        <v>193496.62</v>
      </c>
      <c r="M21" s="93">
        <f t="shared" si="5"/>
        <v>846.70504816013215</v>
      </c>
      <c r="N21" s="93"/>
      <c r="O21" s="93">
        <f t="shared" si="6"/>
        <v>846.70504816013215</v>
      </c>
      <c r="P21" s="6">
        <f>K21-E21</f>
        <v>206280.26112116518</v>
      </c>
      <c r="Q21" s="6"/>
      <c r="R21" s="6">
        <f t="shared" si="7"/>
        <v>-206280.26112116518</v>
      </c>
      <c r="S21" s="45">
        <f>+Q21+E21</f>
        <v>24640.22</v>
      </c>
    </row>
    <row r="22" spans="1:19" ht="12.75" customHeight="1" thickBot="1" x14ac:dyDescent="0.3">
      <c r="D22" s="21" t="s">
        <v>16</v>
      </c>
      <c r="E22" s="16">
        <f>SUM(E18:E21)</f>
        <v>126363.66027320611</v>
      </c>
      <c r="F22" s="17">
        <f>E22/E$22</f>
        <v>1</v>
      </c>
      <c r="K22" s="56">
        <f t="shared" ref="K22:P22" si="8">SUM(K18:K21)</f>
        <v>453072.91070602159</v>
      </c>
      <c r="L22" s="45">
        <f t="shared" si="8"/>
        <v>416606</v>
      </c>
      <c r="M22" s="93">
        <f t="shared" si="8"/>
        <v>1822.9900000000002</v>
      </c>
      <c r="N22" s="93">
        <f t="shared" si="8"/>
        <v>267.29000000000002</v>
      </c>
      <c r="O22" s="93">
        <f t="shared" si="8"/>
        <v>1555.7000000000003</v>
      </c>
      <c r="P22" s="58">
        <f t="shared" si="8"/>
        <v>326709.25043281552</v>
      </c>
      <c r="Q22" s="58">
        <f t="shared" ref="Q22:R22" si="9">SUM(Q18:Q21)</f>
        <v>0</v>
      </c>
      <c r="R22" s="58">
        <f t="shared" si="9"/>
        <v>-326709.25043281552</v>
      </c>
      <c r="S22" s="45">
        <f>SUM(S18:S21)</f>
        <v>126363.66027320611</v>
      </c>
    </row>
    <row r="23" spans="1:19" ht="12.75" customHeight="1" x14ac:dyDescent="0.25">
      <c r="D23" s="3"/>
      <c r="E23" s="6">
        <f>+E22+E13</f>
        <v>176705.0947960974</v>
      </c>
      <c r="K23" s="32">
        <f>+K22+K13</f>
        <v>503414.34522891289</v>
      </c>
      <c r="L23" s="13"/>
      <c r="M23" s="13"/>
      <c r="N23" s="13">
        <f>N15-N22</f>
        <v>0</v>
      </c>
      <c r="O23" s="13">
        <f>O15-O22</f>
        <v>0</v>
      </c>
      <c r="P23" s="6">
        <f>K23-E23</f>
        <v>326709.25043281552</v>
      </c>
      <c r="S23" s="13"/>
    </row>
    <row r="24" spans="1:19" ht="12.75" customHeight="1" thickBot="1" x14ac:dyDescent="0.3">
      <c r="K24" s="32"/>
    </row>
    <row r="25" spans="1:19" ht="18.75" customHeight="1" thickBot="1" x14ac:dyDescent="0.35">
      <c r="D25" s="22" t="str">
        <f>D32</f>
        <v xml:space="preserve">DW Adm </v>
      </c>
      <c r="J25" s="7" t="s">
        <v>69</v>
      </c>
      <c r="K25" s="56">
        <f>601187*0.1</f>
        <v>60118.700000000004</v>
      </c>
      <c r="M25" s="95">
        <f>N25+O25</f>
        <v>623.29999999999995</v>
      </c>
      <c r="N25" s="96">
        <v>45.8</v>
      </c>
      <c r="O25" s="96">
        <v>577.5</v>
      </c>
    </row>
    <row r="26" spans="1:19" ht="40.5" customHeight="1" thickBot="1" x14ac:dyDescent="0.35">
      <c r="A26" s="1" t="s">
        <v>0</v>
      </c>
      <c r="B26" s="1" t="s">
        <v>1</v>
      </c>
      <c r="C26" s="1" t="s">
        <v>2</v>
      </c>
      <c r="D26" s="1" t="s">
        <v>3</v>
      </c>
      <c r="E26" s="4" t="s">
        <v>12</v>
      </c>
      <c r="F26" s="27" t="s">
        <v>22</v>
      </c>
      <c r="J26" s="18" t="s">
        <v>3</v>
      </c>
      <c r="K26" s="54" t="s">
        <v>19</v>
      </c>
      <c r="L26" s="43" t="str">
        <f>L7</f>
        <v>PY17 &amp; FY18 Orignal</v>
      </c>
      <c r="M26" s="42" t="s">
        <v>82</v>
      </c>
      <c r="N26" s="97" t="s">
        <v>83</v>
      </c>
      <c r="O26" s="97" t="s">
        <v>84</v>
      </c>
      <c r="P26" s="37" t="str">
        <f>P7</f>
        <v>FY18 Estimated</v>
      </c>
      <c r="Q26" s="37" t="str">
        <f>Q7</f>
        <v>FY18 Actual</v>
      </c>
      <c r="R26" s="35" t="s">
        <v>25</v>
      </c>
      <c r="S26" s="43" t="str">
        <f>S7</f>
        <v>PY17 &amp; FY18 Actual</v>
      </c>
    </row>
    <row r="27" spans="1:19" ht="12.75" customHeight="1" x14ac:dyDescent="0.25">
      <c r="A27" s="2" t="s">
        <v>5</v>
      </c>
      <c r="B27" s="2" t="s">
        <v>6</v>
      </c>
      <c r="C27" s="2">
        <v>56</v>
      </c>
      <c r="D27" s="2" t="s">
        <v>7</v>
      </c>
      <c r="E27" s="5">
        <f>34063*0.04</f>
        <v>1362.52</v>
      </c>
      <c r="F27" s="17">
        <f t="shared" ref="F27:F32" si="10">E27/E$32</f>
        <v>0.14946467749012723</v>
      </c>
      <c r="J27" s="2" t="s">
        <v>7</v>
      </c>
      <c r="K27" s="55">
        <f>'Sara Ballard eml 6-5-18'!Q5*0.04</f>
        <v>7554.1480692834621</v>
      </c>
      <c r="L27" s="45">
        <v>8622.4279999999999</v>
      </c>
      <c r="M27" s="93">
        <f>(L27/L$32)*M$25</f>
        <v>93.170593977428339</v>
      </c>
      <c r="N27" s="94"/>
      <c r="O27" s="94">
        <f>M27</f>
        <v>93.170593977428339</v>
      </c>
      <c r="P27" s="6">
        <f>K27-E27</f>
        <v>6191.6280692834625</v>
      </c>
      <c r="Q27" s="6"/>
      <c r="R27" s="6">
        <f>Q27-P27</f>
        <v>-6191.6280692834625</v>
      </c>
      <c r="S27" s="45">
        <f>+Q27+E27</f>
        <v>1362.52</v>
      </c>
    </row>
    <row r="28" spans="1:19" ht="12.75" customHeight="1" x14ac:dyDescent="0.25">
      <c r="A28" s="2" t="s">
        <v>5</v>
      </c>
      <c r="B28" s="2" t="s">
        <v>6</v>
      </c>
      <c r="C28" s="2">
        <v>58</v>
      </c>
      <c r="D28" s="2" t="s">
        <v>8</v>
      </c>
      <c r="E28" s="5">
        <f>14585*0.04</f>
        <v>583.4</v>
      </c>
      <c r="F28" s="17">
        <f t="shared" si="10"/>
        <v>6.399736726634489E-2</v>
      </c>
      <c r="J28" s="2" t="s">
        <v>8</v>
      </c>
      <c r="K28" s="55">
        <f>'Sara Ballard eml 6-5-18'!Q6*0.04</f>
        <v>3908.0299431410194</v>
      </c>
      <c r="L28" s="45">
        <v>3691.6480000000001</v>
      </c>
      <c r="M28" s="93">
        <f t="shared" ref="M28:M31" si="11">(L28/L$32)*M$25</f>
        <v>39.890508440961803</v>
      </c>
      <c r="N28" s="94"/>
      <c r="O28" s="94">
        <f t="shared" ref="O28:O30" si="12">M28</f>
        <v>39.890508440961803</v>
      </c>
      <c r="P28" s="6">
        <f>K28-E28</f>
        <v>3324.6299431410193</v>
      </c>
      <c r="Q28" s="6"/>
      <c r="R28" s="6">
        <f t="shared" ref="R28:R32" si="13">Q28-P28</f>
        <v>-3324.6299431410193</v>
      </c>
      <c r="S28" s="45">
        <f>+Q28+E28</f>
        <v>583.4</v>
      </c>
    </row>
    <row r="29" spans="1:19" ht="12.75" customHeight="1" x14ac:dyDescent="0.25">
      <c r="A29" s="2" t="s">
        <v>5</v>
      </c>
      <c r="B29" s="2" t="s">
        <v>6</v>
      </c>
      <c r="C29" s="2">
        <v>61</v>
      </c>
      <c r="D29" s="2" t="s">
        <v>9</v>
      </c>
      <c r="E29" s="5">
        <f>12074*0.04</f>
        <v>482.96000000000004</v>
      </c>
      <c r="F29" s="17">
        <f t="shared" si="10"/>
        <v>5.2979376919701629E-2</v>
      </c>
      <c r="J29" s="2" t="s">
        <v>9</v>
      </c>
      <c r="K29" s="55">
        <f>'Sara Ballard eml 6-5-18'!Q7*0.04</f>
        <v>3338.778648922264</v>
      </c>
      <c r="L29" s="45">
        <v>3056.2640000000001</v>
      </c>
      <c r="M29" s="93">
        <f t="shared" si="11"/>
        <v>33.024796754676416</v>
      </c>
      <c r="N29" s="94"/>
      <c r="O29" s="94">
        <f t="shared" si="12"/>
        <v>33.024796754676416</v>
      </c>
      <c r="P29" s="6">
        <f>K29-E29</f>
        <v>2855.8186489222639</v>
      </c>
      <c r="Q29" s="6"/>
      <c r="R29" s="6">
        <f t="shared" si="13"/>
        <v>-2855.8186489222639</v>
      </c>
      <c r="S29" s="45">
        <f>+Q29+E29</f>
        <v>482.96000000000004</v>
      </c>
    </row>
    <row r="30" spans="1:19" ht="12.75" customHeight="1" x14ac:dyDescent="0.25">
      <c r="A30" s="2" t="s">
        <v>5</v>
      </c>
      <c r="B30" s="2" t="s">
        <v>6</v>
      </c>
      <c r="C30" s="2">
        <v>84</v>
      </c>
      <c r="D30" s="2" t="s">
        <v>10</v>
      </c>
      <c r="E30" s="5">
        <f>30429*0.04</f>
        <v>1217.1600000000001</v>
      </c>
      <c r="F30" s="17">
        <f t="shared" si="10"/>
        <v>0.13351908731899956</v>
      </c>
      <c r="J30" s="2" t="s">
        <v>10</v>
      </c>
      <c r="K30" s="55">
        <f>'Sara Ballard eml 6-5-18'!Q8*0.04</f>
        <v>9824.8361513837026</v>
      </c>
      <c r="L30" s="45">
        <v>7702.5</v>
      </c>
      <c r="M30" s="93">
        <f t="shared" si="11"/>
        <v>83.230210807343582</v>
      </c>
      <c r="N30" s="94"/>
      <c r="O30" s="94">
        <f t="shared" si="12"/>
        <v>83.230210807343582</v>
      </c>
      <c r="P30" s="6">
        <f>K30-E30</f>
        <v>8607.6761513837027</v>
      </c>
      <c r="Q30" s="6"/>
      <c r="R30" s="6">
        <f t="shared" si="13"/>
        <v>-8607.6761513837027</v>
      </c>
      <c r="S30" s="45">
        <f>+Q30+E30</f>
        <v>1217.1600000000001</v>
      </c>
    </row>
    <row r="31" spans="1:19" ht="12.75" customHeight="1" thickBot="1" x14ac:dyDescent="0.3">
      <c r="A31" s="3"/>
      <c r="B31" s="3"/>
      <c r="C31" s="3"/>
      <c r="D31" s="2" t="s">
        <v>11</v>
      </c>
      <c r="E31" s="5">
        <f>(91151*0.06)+0.9</f>
        <v>5469.9599999999991</v>
      </c>
      <c r="F31" s="17">
        <f t="shared" si="10"/>
        <v>0.60003949100482656</v>
      </c>
      <c r="J31" s="2" t="s">
        <v>11</v>
      </c>
      <c r="K31" s="55">
        <f>'Sara Ballard eml 6-5-18'!Q9*0.06</f>
        <v>36938.689219095671</v>
      </c>
      <c r="L31" s="45">
        <v>34610.160000000003</v>
      </c>
      <c r="M31" s="93">
        <f t="shared" si="11"/>
        <v>373.98389001958981</v>
      </c>
      <c r="N31" s="94">
        <f>N25</f>
        <v>45.8</v>
      </c>
      <c r="O31" s="94">
        <f>M31-N31</f>
        <v>328.1838900195898</v>
      </c>
      <c r="P31" s="6">
        <f>K31-E31</f>
        <v>31468.729219095672</v>
      </c>
      <c r="Q31" s="6"/>
      <c r="R31" s="6">
        <f t="shared" si="13"/>
        <v>-31468.729219095672</v>
      </c>
      <c r="S31" s="45">
        <f>+Q31+E31</f>
        <v>5469.9599999999991</v>
      </c>
    </row>
    <row r="32" spans="1:19" ht="12.75" customHeight="1" thickBot="1" x14ac:dyDescent="0.3">
      <c r="D32" s="21" t="s">
        <v>17</v>
      </c>
      <c r="E32" s="16">
        <f>SUM(E27:E31)</f>
        <v>9116</v>
      </c>
      <c r="F32" s="17">
        <f t="shared" si="10"/>
        <v>1</v>
      </c>
      <c r="K32" s="56">
        <f>SUM(K27:K31)</f>
        <v>61564.482031826119</v>
      </c>
      <c r="L32" s="45">
        <f>SUM(L27:L31)</f>
        <v>57683</v>
      </c>
      <c r="M32" s="94">
        <f>SUM(M27:M31)</f>
        <v>623.29999999999995</v>
      </c>
      <c r="N32" s="94">
        <f>SUM(N27:N31)</f>
        <v>45.8</v>
      </c>
      <c r="O32" s="94">
        <f>SUM(O27:O31)</f>
        <v>577.49999999999989</v>
      </c>
      <c r="P32" s="34">
        <f t="shared" ref="P32:Q32" si="14">SUM(P27:P31)</f>
        <v>52448.482031826119</v>
      </c>
      <c r="Q32" s="34">
        <f t="shared" si="14"/>
        <v>0</v>
      </c>
      <c r="R32" s="34">
        <f t="shared" si="13"/>
        <v>-52448.482031826119</v>
      </c>
      <c r="S32" s="45">
        <f>SUM(S27:S31)</f>
        <v>9116</v>
      </c>
    </row>
    <row r="33" spans="1:19" ht="12.75" customHeight="1" x14ac:dyDescent="0.25">
      <c r="D33" s="3"/>
      <c r="K33" s="32"/>
      <c r="M33" s="13"/>
      <c r="N33" s="98">
        <f>N25-N32</f>
        <v>0</v>
      </c>
      <c r="O33" s="98">
        <f>O25-O32</f>
        <v>0</v>
      </c>
      <c r="S33" s="61"/>
    </row>
    <row r="34" spans="1:19" ht="12.75" customHeight="1" thickBot="1" x14ac:dyDescent="0.3">
      <c r="D34" s="3"/>
      <c r="K34" s="32"/>
      <c r="M34" s="13"/>
      <c r="N34" s="13"/>
      <c r="O34" s="13"/>
    </row>
    <row r="35" spans="1:19" ht="18" customHeight="1" thickBot="1" x14ac:dyDescent="0.35">
      <c r="D35" s="22" t="str">
        <f>D41</f>
        <v xml:space="preserve">DW </v>
      </c>
      <c r="J35" s="7" t="s">
        <v>18</v>
      </c>
      <c r="K35" s="56">
        <f>601187*0.9</f>
        <v>541068.30000000005</v>
      </c>
      <c r="M35">
        <f>N35+O35</f>
        <v>2283.61</v>
      </c>
      <c r="N35">
        <v>412.21</v>
      </c>
      <c r="O35">
        <v>1871.4</v>
      </c>
    </row>
    <row r="36" spans="1:19" ht="40.5" customHeight="1" thickBot="1" x14ac:dyDescent="0.35">
      <c r="A36" s="1" t="s">
        <v>0</v>
      </c>
      <c r="B36" s="1" t="s">
        <v>1</v>
      </c>
      <c r="C36" s="1" t="s">
        <v>2</v>
      </c>
      <c r="D36" s="1" t="s">
        <v>3</v>
      </c>
      <c r="E36" s="4" t="s">
        <v>12</v>
      </c>
      <c r="F36" s="27" t="s">
        <v>22</v>
      </c>
      <c r="J36" s="18" t="s">
        <v>3</v>
      </c>
      <c r="K36" s="54" t="s">
        <v>19</v>
      </c>
      <c r="L36" s="43" t="str">
        <f>L7</f>
        <v>PY17 &amp; FY18 Orignal</v>
      </c>
      <c r="M36" s="42" t="s">
        <v>82</v>
      </c>
      <c r="N36" s="42" t="s">
        <v>83</v>
      </c>
      <c r="O36" s="42" t="s">
        <v>84</v>
      </c>
      <c r="P36" s="37" t="str">
        <f>P7</f>
        <v>FY18 Estimated</v>
      </c>
      <c r="Q36" s="37" t="str">
        <f>Q17</f>
        <v>FY18 Actual</v>
      </c>
      <c r="R36" s="35" t="s">
        <v>25</v>
      </c>
      <c r="S36" s="43" t="str">
        <f>S7</f>
        <v>PY17 &amp; FY18 Actual</v>
      </c>
    </row>
    <row r="37" spans="1:19" ht="12.75" customHeight="1" x14ac:dyDescent="0.25">
      <c r="A37" s="2" t="s">
        <v>5</v>
      </c>
      <c r="B37" s="2" t="s">
        <v>6</v>
      </c>
      <c r="C37" s="2">
        <v>56</v>
      </c>
      <c r="D37" s="2" t="s">
        <v>7</v>
      </c>
      <c r="E37" s="5">
        <v>30657.51</v>
      </c>
      <c r="F37" s="17">
        <f>E37/E$41</f>
        <v>0.37371256171146461</v>
      </c>
      <c r="J37" s="2" t="s">
        <v>7</v>
      </c>
      <c r="K37" s="55">
        <f>'Sara Ballard eml 6-5-18'!Q5*0.9</f>
        <v>169968.33155887789</v>
      </c>
      <c r="L37" s="45">
        <v>194000.71000000002</v>
      </c>
      <c r="M37" s="93">
        <f>(L37/L$41)*M$35</f>
        <v>853.3947465140651</v>
      </c>
      <c r="N37" s="93">
        <f>N35</f>
        <v>412.21</v>
      </c>
      <c r="O37" s="93">
        <f>M37-N37</f>
        <v>441.18474651406513</v>
      </c>
      <c r="P37" s="6">
        <f t="shared" ref="P37:P42" si="15">K37-E37</f>
        <v>139310.82155887788</v>
      </c>
      <c r="Q37" s="6"/>
      <c r="R37" s="6">
        <f>Q37-P37</f>
        <v>-139310.82155887788</v>
      </c>
      <c r="S37" s="45">
        <f>+Q37+E37</f>
        <v>30657.51</v>
      </c>
    </row>
    <row r="38" spans="1:19" ht="12.75" customHeight="1" x14ac:dyDescent="0.25">
      <c r="A38" s="2" t="s">
        <v>5</v>
      </c>
      <c r="B38" s="2" t="s">
        <v>6</v>
      </c>
      <c r="C38" s="2">
        <v>58</v>
      </c>
      <c r="D38" s="2" t="s">
        <v>8</v>
      </c>
      <c r="E38" s="5">
        <v>13125.43</v>
      </c>
      <c r="F38" s="17">
        <f>E38/E$41</f>
        <v>0.15999792771378071</v>
      </c>
      <c r="J38" s="2" t="s">
        <v>8</v>
      </c>
      <c r="K38" s="55">
        <f>'Sara Ballard eml 6-5-18'!Q6*0.9</f>
        <v>87930.67372067293</v>
      </c>
      <c r="L38" s="45">
        <v>83063.359999999986</v>
      </c>
      <c r="M38" s="93">
        <f t="shared" ref="M38:M40" si="16">(L38/L$41)*M$35</f>
        <v>365.38956507842943</v>
      </c>
      <c r="N38" s="93"/>
      <c r="O38" s="93">
        <f t="shared" ref="O38:O40" si="17">M38</f>
        <v>365.38956507842943</v>
      </c>
      <c r="P38" s="6">
        <f t="shared" si="15"/>
        <v>74805.243720672937</v>
      </c>
      <c r="Q38" s="6"/>
      <c r="R38" s="6">
        <f t="shared" ref="R38:R40" si="18">Q38-P38</f>
        <v>-74805.243720672937</v>
      </c>
      <c r="S38" s="45">
        <f>+Q38+E38</f>
        <v>13125.43</v>
      </c>
    </row>
    <row r="39" spans="1:19" ht="12.75" customHeight="1" x14ac:dyDescent="0.25">
      <c r="A39" s="2" t="s">
        <v>5</v>
      </c>
      <c r="B39" s="2" t="s">
        <v>6</v>
      </c>
      <c r="C39" s="2">
        <v>61</v>
      </c>
      <c r="D39" s="2" t="s">
        <v>9</v>
      </c>
      <c r="E39" s="5">
        <v>10866.66</v>
      </c>
      <c r="F39" s="17">
        <f>E39/E$41</f>
        <v>0.13246370451636497</v>
      </c>
      <c r="J39" s="2" t="s">
        <v>9</v>
      </c>
      <c r="K39" s="55">
        <f>'Sara Ballard eml 6-5-18'!Q7*0.9</f>
        <v>75122.519600750951</v>
      </c>
      <c r="L39" s="45">
        <v>68763.22</v>
      </c>
      <c r="M39" s="93">
        <f t="shared" si="16"/>
        <v>302.48430895634806</v>
      </c>
      <c r="N39" s="93"/>
      <c r="O39" s="93">
        <f t="shared" si="17"/>
        <v>302.48430895634806</v>
      </c>
      <c r="P39" s="6">
        <f t="shared" si="15"/>
        <v>64255.859600750948</v>
      </c>
      <c r="Q39" s="6"/>
      <c r="R39" s="6">
        <f t="shared" si="18"/>
        <v>-64255.859600750948</v>
      </c>
      <c r="S39" s="45">
        <f>+Q39+E39</f>
        <v>10866.66</v>
      </c>
    </row>
    <row r="40" spans="1:19" ht="12.75" customHeight="1" thickBot="1" x14ac:dyDescent="0.3">
      <c r="A40" s="2" t="s">
        <v>5</v>
      </c>
      <c r="B40" s="2" t="s">
        <v>6</v>
      </c>
      <c r="C40" s="2">
        <v>84</v>
      </c>
      <c r="D40" s="2" t="s">
        <v>10</v>
      </c>
      <c r="E40" s="5">
        <v>27385.4</v>
      </c>
      <c r="F40" s="17">
        <f>E40/E$41</f>
        <v>0.33382580605838974</v>
      </c>
      <c r="J40" s="2" t="s">
        <v>10</v>
      </c>
      <c r="K40" s="55">
        <f>'Sara Ballard eml 6-5-18'!Q8*0.9</f>
        <v>221058.8134061333</v>
      </c>
      <c r="L40" s="45">
        <v>173301.71</v>
      </c>
      <c r="M40" s="93">
        <f t="shared" si="16"/>
        <v>762.34137945115765</v>
      </c>
      <c r="N40" s="93"/>
      <c r="O40" s="93">
        <f t="shared" si="17"/>
        <v>762.34137945115765</v>
      </c>
      <c r="P40" s="6">
        <f t="shared" si="15"/>
        <v>193673.4134061333</v>
      </c>
      <c r="Q40" s="6"/>
      <c r="R40" s="6">
        <f t="shared" si="18"/>
        <v>-193673.4134061333</v>
      </c>
      <c r="S40" s="45">
        <f>+Q40+E40</f>
        <v>27385.4</v>
      </c>
    </row>
    <row r="41" spans="1:19" ht="12.75" customHeight="1" thickBot="1" x14ac:dyDescent="0.3">
      <c r="D41" s="21" t="s">
        <v>18</v>
      </c>
      <c r="E41" s="16">
        <f>SUM(E37:E40)</f>
        <v>82035</v>
      </c>
      <c r="F41" s="17">
        <f>E41/E$41</f>
        <v>1</v>
      </c>
      <c r="K41" s="57">
        <f>SUM(K37:K40)</f>
        <v>554080.33828643512</v>
      </c>
      <c r="L41" s="45">
        <f>SUM(L37:L40)</f>
        <v>519129</v>
      </c>
      <c r="M41" s="93">
        <f>SUM(M37:M40)</f>
        <v>2283.61</v>
      </c>
      <c r="N41" s="93">
        <f>SUM(N37:N40)</f>
        <v>412.21</v>
      </c>
      <c r="O41" s="93">
        <f>SUM(O37:O40)</f>
        <v>1871.4</v>
      </c>
      <c r="P41" s="34">
        <f t="shared" si="15"/>
        <v>472045.33828643512</v>
      </c>
      <c r="Q41" s="34">
        <f>SUM(Q37:Q40)</f>
        <v>0</v>
      </c>
      <c r="R41" s="34">
        <f t="shared" ref="R41" si="19">SUM(R37:R40)</f>
        <v>-472045.33828643506</v>
      </c>
      <c r="S41" s="45">
        <f>SUM(S37:S40)</f>
        <v>82035</v>
      </c>
    </row>
    <row r="42" spans="1:19" ht="12.75" customHeight="1" x14ac:dyDescent="0.25">
      <c r="D42" s="3"/>
      <c r="E42" s="6">
        <f>E41+E32</f>
        <v>91151</v>
      </c>
      <c r="K42" s="32">
        <f>+K32+K41</f>
        <v>615644.82031826128</v>
      </c>
      <c r="L42" s="13"/>
      <c r="M42" s="13"/>
      <c r="N42" s="13">
        <f>N35-N41</f>
        <v>0</v>
      </c>
      <c r="O42" s="13">
        <f>O35-O41</f>
        <v>0</v>
      </c>
      <c r="P42" s="6">
        <f t="shared" si="15"/>
        <v>524493.82031826128</v>
      </c>
      <c r="S42" s="13"/>
    </row>
    <row r="43" spans="1:19" ht="12.75" customHeight="1" x14ac:dyDescent="0.25">
      <c r="D43" s="23" t="s">
        <v>29</v>
      </c>
      <c r="E43" s="3"/>
      <c r="F43"/>
      <c r="K43" s="32"/>
    </row>
    <row r="44" spans="1:19" ht="12.75" hidden="1" customHeight="1" x14ac:dyDescent="0.25">
      <c r="D44" t="s">
        <v>14</v>
      </c>
      <c r="E44"/>
      <c r="F44"/>
      <c r="K44" s="32"/>
    </row>
    <row r="45" spans="1:19" ht="12.75" hidden="1" customHeight="1" x14ac:dyDescent="0.25">
      <c r="A45" s="1" t="s">
        <v>0</v>
      </c>
      <c r="B45" s="1" t="s">
        <v>1</v>
      </c>
      <c r="C45" s="1" t="s">
        <v>2</v>
      </c>
      <c r="E45"/>
      <c r="F45"/>
      <c r="K45" s="32"/>
    </row>
    <row r="46" spans="1:19" ht="17.25" customHeight="1" x14ac:dyDescent="0.3">
      <c r="A46" s="2" t="s">
        <v>5</v>
      </c>
      <c r="B46" s="2" t="s">
        <v>6</v>
      </c>
      <c r="C46" s="2">
        <v>56</v>
      </c>
      <c r="D46" t="str">
        <f>D53</f>
        <v xml:space="preserve">Youth Adm </v>
      </c>
      <c r="F46"/>
      <c r="J46" s="7" t="s">
        <v>70</v>
      </c>
      <c r="K46" s="32"/>
      <c r="M46">
        <v>241.64</v>
      </c>
    </row>
    <row r="47" spans="1:19" ht="12.75" customHeight="1" x14ac:dyDescent="0.25">
      <c r="A47" s="2" t="s">
        <v>5</v>
      </c>
      <c r="B47" s="2" t="s">
        <v>6</v>
      </c>
      <c r="C47" s="2">
        <v>58</v>
      </c>
      <c r="D47" s="1" t="s">
        <v>3</v>
      </c>
      <c r="E47" s="4" t="s">
        <v>12</v>
      </c>
      <c r="F47"/>
      <c r="J47" s="18" t="s">
        <v>3</v>
      </c>
      <c r="K47" s="51" t="s">
        <v>46</v>
      </c>
      <c r="L47" s="51" t="s">
        <v>43</v>
      </c>
      <c r="M47" s="42" t="s">
        <v>82</v>
      </c>
    </row>
    <row r="48" spans="1:19" ht="12.75" customHeight="1" x14ac:dyDescent="0.25">
      <c r="A48" s="2" t="s">
        <v>5</v>
      </c>
      <c r="B48" s="2" t="s">
        <v>6</v>
      </c>
      <c r="C48" s="2">
        <v>61</v>
      </c>
      <c r="D48" s="2" t="s">
        <v>7</v>
      </c>
      <c r="E48" s="5">
        <f>106335*0.04</f>
        <v>4253.3999999999996</v>
      </c>
      <c r="F48"/>
      <c r="J48" s="2" t="s">
        <v>7</v>
      </c>
      <c r="K48" s="30">
        <f>'Sara Ballard eml 6-5-18'!L5*0.04</f>
        <v>3853.2622609954697</v>
      </c>
      <c r="L48" s="30">
        <v>4253.3999999999996</v>
      </c>
      <c r="M48" s="93">
        <f>(L48/L$53)*M$46</f>
        <v>21.76187461093819</v>
      </c>
      <c r="O48" s="61"/>
    </row>
    <row r="49" spans="1:15" ht="12.75" customHeight="1" x14ac:dyDescent="0.25">
      <c r="A49" s="2" t="s">
        <v>5</v>
      </c>
      <c r="B49" s="2" t="s">
        <v>6</v>
      </c>
      <c r="C49" s="2">
        <v>84</v>
      </c>
      <c r="D49" s="2" t="s">
        <v>8</v>
      </c>
      <c r="E49" s="5">
        <f>78693*0.04</f>
        <v>3147.7200000000003</v>
      </c>
      <c r="F49"/>
      <c r="J49" s="2" t="s">
        <v>8</v>
      </c>
      <c r="K49" s="30">
        <f>'Sara Ballard eml 6-5-18'!L6*0.04</f>
        <v>3248.1932610225649</v>
      </c>
      <c r="L49" s="30">
        <v>3147.7200000000003</v>
      </c>
      <c r="M49" s="93">
        <f t="shared" ref="M49:M52" si="20">(L49/L$53)*M$46</f>
        <v>16.104830947087596</v>
      </c>
      <c r="N49" s="61"/>
      <c r="O49" s="61"/>
    </row>
    <row r="50" spans="1:15" ht="12.75" customHeight="1" x14ac:dyDescent="0.25">
      <c r="A50" s="3"/>
      <c r="B50" s="3"/>
      <c r="C50" s="3"/>
      <c r="D50" s="2" t="s">
        <v>9</v>
      </c>
      <c r="E50" s="5">
        <f>64177*0.04</f>
        <v>2567.08</v>
      </c>
      <c r="F50"/>
      <c r="J50" s="2" t="s">
        <v>9</v>
      </c>
      <c r="K50" s="30">
        <f>'Sara Ballard eml 6-5-18'!L7*0.04</f>
        <v>2636.2756834755978</v>
      </c>
      <c r="L50" s="30">
        <v>2567.08</v>
      </c>
      <c r="M50" s="93">
        <f t="shared" si="20"/>
        <v>13.134074640580998</v>
      </c>
      <c r="N50" s="61"/>
      <c r="O50" s="61"/>
    </row>
    <row r="51" spans="1:15" ht="12.75" customHeight="1" x14ac:dyDescent="0.25">
      <c r="D51" s="2" t="s">
        <v>10</v>
      </c>
      <c r="E51" s="5">
        <f>223089*0.04</f>
        <v>8923.56</v>
      </c>
      <c r="F51"/>
      <c r="J51" s="2" t="s">
        <v>10</v>
      </c>
      <c r="K51" s="30">
        <f>'Sara Ballard eml 6-5-18'!L8*0.04</f>
        <v>10775.808739940587</v>
      </c>
      <c r="L51" s="30">
        <v>8923.56</v>
      </c>
      <c r="M51" s="93">
        <f t="shared" si="20"/>
        <v>45.656038417074249</v>
      </c>
      <c r="N51" s="61"/>
      <c r="O51" s="61"/>
    </row>
    <row r="52" spans="1:15" ht="12.75" customHeight="1" thickBot="1" x14ac:dyDescent="0.3">
      <c r="D52" s="2" t="s">
        <v>11</v>
      </c>
      <c r="E52" s="5">
        <f>(472294*0.06)-0.4</f>
        <v>28337.239999999998</v>
      </c>
      <c r="F52"/>
      <c r="J52" s="2" t="s">
        <v>11</v>
      </c>
      <c r="K52" s="30">
        <f>'Sara Ballard eml 6-5-18'!L9*0.06</f>
        <v>30770.309918151328</v>
      </c>
      <c r="L52" s="30">
        <v>28337.239999999998</v>
      </c>
      <c r="M52" s="93">
        <f t="shared" si="20"/>
        <v>144.98318138431893</v>
      </c>
      <c r="N52" s="61">
        <f>M52+M31+M12</f>
        <v>824.83127395743099</v>
      </c>
      <c r="O52" s="61" t="s">
        <v>86</v>
      </c>
    </row>
    <row r="53" spans="1:15" ht="12.75" customHeight="1" thickBot="1" x14ac:dyDescent="0.3">
      <c r="D53" s="3" t="s">
        <v>27</v>
      </c>
      <c r="E53" s="10">
        <f>SUM(E48:E52)</f>
        <v>47229</v>
      </c>
      <c r="F53"/>
      <c r="K53" s="57">
        <f>SUM(K48:K52)</f>
        <v>51283.84986358555</v>
      </c>
      <c r="L53" s="57">
        <f>SUM(L48:L52)</f>
        <v>47229</v>
      </c>
      <c r="M53" s="94">
        <f>SUM(M48:M52)</f>
        <v>241.63999999999996</v>
      </c>
    </row>
    <row r="54" spans="1:15" ht="12.75" customHeight="1" x14ac:dyDescent="0.25">
      <c r="D54" s="3"/>
      <c r="F54"/>
      <c r="K54" s="32"/>
      <c r="L54" s="32"/>
    </row>
    <row r="55" spans="1:15" ht="12.75" customHeight="1" x14ac:dyDescent="0.25">
      <c r="A55" s="1" t="s">
        <v>0</v>
      </c>
      <c r="B55" s="1" t="s">
        <v>1</v>
      </c>
      <c r="C55" s="1" t="s">
        <v>2</v>
      </c>
      <c r="D55" s="3"/>
      <c r="F55"/>
      <c r="K55" s="32"/>
      <c r="L55" s="32"/>
    </row>
    <row r="56" spans="1:15" ht="12.75" customHeight="1" x14ac:dyDescent="0.3">
      <c r="A56" s="2" t="s">
        <v>5</v>
      </c>
      <c r="B56" s="2" t="s">
        <v>6</v>
      </c>
      <c r="C56" s="2">
        <v>56</v>
      </c>
      <c r="D56" t="str">
        <f>D62</f>
        <v>Youth Program</v>
      </c>
      <c r="F56"/>
      <c r="J56" s="7" t="s">
        <v>71</v>
      </c>
      <c r="K56" s="32"/>
      <c r="L56" s="32"/>
      <c r="M56">
        <v>2174.7800000000002</v>
      </c>
    </row>
    <row r="57" spans="1:15" ht="12.75" customHeight="1" x14ac:dyDescent="0.25">
      <c r="A57" s="2" t="s">
        <v>5</v>
      </c>
      <c r="B57" s="2" t="s">
        <v>6</v>
      </c>
      <c r="C57" s="2">
        <v>58</v>
      </c>
      <c r="D57" s="1" t="s">
        <v>3</v>
      </c>
      <c r="E57" s="4" t="s">
        <v>4</v>
      </c>
      <c r="F57"/>
      <c r="G57" s="23" t="s">
        <v>45</v>
      </c>
      <c r="J57" s="18" t="s">
        <v>3</v>
      </c>
      <c r="K57" s="51" t="str">
        <f>K47</f>
        <v>PY18 Final</v>
      </c>
      <c r="L57" s="51" t="str">
        <f>L47</f>
        <v>PY17 Final</v>
      </c>
      <c r="M57" s="42" t="s">
        <v>82</v>
      </c>
    </row>
    <row r="58" spans="1:15" ht="12.75" customHeight="1" x14ac:dyDescent="0.25">
      <c r="A58" s="2" t="s">
        <v>5</v>
      </c>
      <c r="B58" s="2" t="s">
        <v>6</v>
      </c>
      <c r="C58" s="2">
        <v>61</v>
      </c>
      <c r="D58" s="2" t="s">
        <v>7</v>
      </c>
      <c r="E58" s="5">
        <v>95701.39</v>
      </c>
      <c r="F58"/>
      <c r="G58" s="59" t="s">
        <v>44</v>
      </c>
      <c r="J58" s="2" t="s">
        <v>7</v>
      </c>
      <c r="K58" s="30">
        <f>'Sara Ballard eml 6-5-18'!L5*0.9</f>
        <v>86698.400872398066</v>
      </c>
      <c r="L58" s="30">
        <v>95701.39</v>
      </c>
      <c r="M58" s="93">
        <f>(L58/L$62)*M$56</f>
        <v>489.64266309120512</v>
      </c>
    </row>
    <row r="59" spans="1:15" ht="12.75" customHeight="1" x14ac:dyDescent="0.25">
      <c r="A59" s="2" t="s">
        <v>5</v>
      </c>
      <c r="B59" s="2" t="s">
        <v>6</v>
      </c>
      <c r="C59" s="2">
        <v>84</v>
      </c>
      <c r="D59" s="2" t="s">
        <v>8</v>
      </c>
      <c r="E59" s="5">
        <v>70823.56</v>
      </c>
      <c r="F59"/>
      <c r="J59" s="2" t="s">
        <v>8</v>
      </c>
      <c r="K59" s="30">
        <f>'Sara Ballard eml 6-5-18'!L6*0.9</f>
        <v>73084.348373007713</v>
      </c>
      <c r="L59" s="30">
        <v>70823.56</v>
      </c>
      <c r="M59" s="93">
        <f t="shared" ref="M59:M61" si="21">(L59/L$62)*M$56</f>
        <v>362.35875495643012</v>
      </c>
    </row>
    <row r="60" spans="1:15" ht="12.75" customHeight="1" x14ac:dyDescent="0.25">
      <c r="D60" s="2" t="s">
        <v>9</v>
      </c>
      <c r="E60" s="5">
        <v>57759.56</v>
      </c>
      <c r="F60"/>
      <c r="J60" s="2" t="s">
        <v>9</v>
      </c>
      <c r="K60" s="30">
        <f>'Sara Ballard eml 6-5-18'!L7*0.9</f>
        <v>59316.202878200951</v>
      </c>
      <c r="L60" s="30">
        <v>57759.56</v>
      </c>
      <c r="M60" s="93">
        <f t="shared" si="21"/>
        <v>295.51864165584482</v>
      </c>
    </row>
    <row r="61" spans="1:15" ht="13.8" thickBot="1" x14ac:dyDescent="0.3">
      <c r="D61" s="2" t="s">
        <v>10</v>
      </c>
      <c r="E61" s="5">
        <v>200779.49</v>
      </c>
      <c r="F61"/>
      <c r="J61" s="2" t="s">
        <v>10</v>
      </c>
      <c r="K61" s="30">
        <f>'Sara Ballard eml 6-5-18'!L8*0.9</f>
        <v>242455.6966486632</v>
      </c>
      <c r="L61" s="30">
        <v>200779.49</v>
      </c>
      <c r="M61" s="93">
        <f t="shared" si="21"/>
        <v>1027.25994029652</v>
      </c>
    </row>
    <row r="62" spans="1:15" ht="13.8" thickBot="1" x14ac:dyDescent="0.3">
      <c r="D62" s="3" t="s">
        <v>28</v>
      </c>
      <c r="E62" s="10">
        <f>SUM(E58:E61)</f>
        <v>425064</v>
      </c>
      <c r="F62"/>
      <c r="K62" s="57">
        <f>SUM(K58:K61)</f>
        <v>461554.64877226995</v>
      </c>
      <c r="L62" s="57">
        <f>SUM(L58:L61)</f>
        <v>425064</v>
      </c>
      <c r="M62" s="93">
        <f>SUM(M58:M61)</f>
        <v>2174.7799999999997</v>
      </c>
    </row>
    <row r="63" spans="1:15" x14ac:dyDescent="0.25">
      <c r="E63" s="6">
        <f>+E62+E53</f>
        <v>472293</v>
      </c>
      <c r="K63" s="32">
        <f>+K62+K53</f>
        <v>512838.4986358555</v>
      </c>
      <c r="L63" s="32">
        <f>+L62+L53</f>
        <v>472293</v>
      </c>
      <c r="M63" s="13"/>
    </row>
    <row r="64" spans="1:15" x14ac:dyDescent="0.25">
      <c r="J64" s="23" t="s">
        <v>26</v>
      </c>
      <c r="K64" s="13">
        <f>K13+K22+K32+K41+K53+K62</f>
        <v>1631897.6641830297</v>
      </c>
      <c r="L64" s="13">
        <f>L13+L22+L32+L41+L53+L62</f>
        <v>1512000</v>
      </c>
      <c r="M64" s="61">
        <f>M13+M22+M32+M41+M53+M62</f>
        <v>7656.09</v>
      </c>
    </row>
    <row r="65" spans="11:12" x14ac:dyDescent="0.25">
      <c r="K65" s="38"/>
      <c r="L65" s="38"/>
    </row>
  </sheetData>
  <mergeCells count="1">
    <mergeCell ref="N1:O1"/>
  </mergeCells>
  <pageMargins left="0.75" right="0.75" top="1" bottom="1" header="0.5" footer="0.5"/>
  <pageSetup scale="72" orientation="portrait" horizontalDpi="300" verticalDpi="3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/>
  </sheetViews>
  <sheetFormatPr defaultRowHeight="13.2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6</vt:i4>
      </vt:variant>
    </vt:vector>
  </HeadingPairs>
  <TitlesOfParts>
    <vt:vector size="19" baseType="lpstr">
      <vt:lpstr>7-01-2022 to 6-30-2023</vt:lpstr>
      <vt:lpstr>State eml 4-1-22 Scott France</vt:lpstr>
      <vt:lpstr>7-01-2021 to 6-30-2022</vt:lpstr>
      <vt:lpstr>State eml 6-1-21 Anne Dennison</vt:lpstr>
      <vt:lpstr>7-01-2020 to 6-30-2021</vt:lpstr>
      <vt:lpstr>SFY21_WIOA_Allocations</vt:lpstr>
      <vt:lpstr>07012019 to 06302020</vt:lpstr>
      <vt:lpstr>Scott 5-29-19</vt:lpstr>
      <vt:lpstr>Orig Scott 5-10-18</vt:lpstr>
      <vt:lpstr>Sara Ballard eml 6-5-18</vt:lpstr>
      <vt:lpstr>07012018 to 06302019</vt:lpstr>
      <vt:lpstr>Add'l 7012017 to 6302018</vt:lpstr>
      <vt:lpstr>Given May-June 2017 CFIS screen</vt:lpstr>
      <vt:lpstr>'07012018 to 06302019'!Print_Area</vt:lpstr>
      <vt:lpstr>'07012019 to 06302020'!Print_Area</vt:lpstr>
      <vt:lpstr>'7-01-2020 to 6-30-2021'!Print_Area</vt:lpstr>
      <vt:lpstr>'7-01-2021 to 6-30-2022'!Print_Area</vt:lpstr>
      <vt:lpstr>'7-01-2022 to 6-30-2023'!Print_Area</vt:lpstr>
      <vt:lpstr>'Add''l 7012017 to 6302018'!Print_Area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Rebecca Safko</dc:creator>
  <cp:lastModifiedBy>R Safko</cp:lastModifiedBy>
  <cp:lastPrinted>2022-08-07T15:21:27Z</cp:lastPrinted>
  <dcterms:created xsi:type="dcterms:W3CDTF">2013-05-17T12:19:04Z</dcterms:created>
  <dcterms:modified xsi:type="dcterms:W3CDTF">2022-11-19T18:22:56Z</dcterms:modified>
</cp:coreProperties>
</file>