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6a9f99d49f6e47c/Documents/Documents/A Director/Allocations WIA15/"/>
    </mc:Choice>
  </mc:AlternateContent>
  <xr:revisionPtr revIDLastSave="449" documentId="8_{F7CF896E-451F-44B5-A032-83AD30BFDCA8}" xr6:coauthVersionLast="47" xr6:coauthVersionMax="47" xr10:uidLastSave="{A41B1586-9040-4EAC-AF74-97F0913C6B76}"/>
  <bookViews>
    <workbookView xWindow="-120" yWindow="-120" windowWidth="29040" windowHeight="15720" xr2:uid="{00000000-000D-0000-FFFF-FFFF00000000}"/>
  </bookViews>
  <sheets>
    <sheet name="Opt B chosen" sheetId="19" r:id="rId1"/>
    <sheet name="7-01-2023 to 6-30-2024" sheetId="17" r:id="rId2"/>
    <sheet name="State eml Scott France" sheetId="18" r:id="rId3"/>
    <sheet name="7-01-2022 to 6-30-2023" sheetId="15" r:id="rId4"/>
    <sheet name="State eml 4-1-22 Scott France" sheetId="16" r:id="rId5"/>
    <sheet name="7-01-2021 to 6-30-2022" sheetId="14" r:id="rId6"/>
    <sheet name="State eml 6-1-21 Anne Dennison" sheetId="12" r:id="rId7"/>
    <sheet name="7-01-2020 to 6-30-2021" sheetId="10" r:id="rId8"/>
    <sheet name="SFY21_WIOA_Allocations" sheetId="11" r:id="rId9"/>
    <sheet name="07012019 to 06302020" sheetId="8" r:id="rId10"/>
    <sheet name="Scott 5-29-19" sheetId="9" r:id="rId11"/>
    <sheet name="Orig Scott 5-10-18" sheetId="5" r:id="rId12"/>
    <sheet name="Sara Ballard eml 6-5-18" sheetId="4" r:id="rId13"/>
    <sheet name="07012018 to 06302019" sheetId="3" r:id="rId14"/>
    <sheet name="Add'l 7012017 to 6302018" sheetId="6" r:id="rId15"/>
    <sheet name="Given May-June 2017 CFIS screen" sheetId="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Adult">'[1] TEGL 16-18'!$B$4</definedName>
    <definedName name="DW">'[1] TEGL 16-18'!$B$5</definedName>
    <definedName name="LAW_convert">[2]LAW_convert!$A$2:$B$22</definedName>
    <definedName name="Pa">#REF!</definedName>
    <definedName name="pov_2019">#REF!</definedName>
    <definedName name="pov_2020">#REF!</definedName>
    <definedName name="_xlnm.Print_Area" localSheetId="13">'07012018 to 06302019'!$A$1:$X$65</definedName>
    <definedName name="_xlnm.Print_Area" localSheetId="9">'07012019 to 06302020'!$A$1:$Y$65</definedName>
    <definedName name="_xlnm.Print_Area" localSheetId="7">'7-01-2020 to 6-30-2021'!$A$1:$R$65</definedName>
    <definedName name="_xlnm.Print_Area" localSheetId="5">'7-01-2021 to 6-30-2022'!$A$1:$S$65</definedName>
    <definedName name="_xlnm.Print_Area" localSheetId="3">'7-01-2022 to 6-30-2023'!$A$1:$T$65</definedName>
    <definedName name="_xlnm.Print_Area" localSheetId="1">'7-01-2023 to 6-30-2024'!$A$1:$U$65</definedName>
    <definedName name="_xlnm.Print_Area" localSheetId="14">'Add''l 7012017 to 6302018'!$A$1:$O$65</definedName>
    <definedName name="_xlnm.Print_Area" localSheetId="0">'Opt B chosen'!$A$1:$R$47</definedName>
    <definedName name="_xlnm.Print_Area">#REF!</definedName>
    <definedName name="S30906_050">#REF!</definedName>
    <definedName name="Youth">'[1] TEGL 16-18'!$B$6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3" i="19" l="1"/>
  <c r="C43" i="19"/>
  <c r="I42" i="19"/>
  <c r="F42" i="19"/>
  <c r="D42" i="19"/>
  <c r="C42" i="19"/>
  <c r="E42" i="19" s="1"/>
  <c r="H42" i="19" s="1"/>
  <c r="I41" i="19"/>
  <c r="D41" i="19"/>
  <c r="E41" i="19" s="1"/>
  <c r="H41" i="19" s="1"/>
  <c r="K41" i="19" s="1"/>
  <c r="I40" i="19"/>
  <c r="D40" i="19"/>
  <c r="E40" i="19" s="1"/>
  <c r="H40" i="19" s="1"/>
  <c r="K40" i="19" s="1"/>
  <c r="I39" i="19"/>
  <c r="I43" i="19" s="1"/>
  <c r="M42" i="19" s="1"/>
  <c r="M43" i="19" s="1"/>
  <c r="D39" i="19"/>
  <c r="E39" i="19" s="1"/>
  <c r="I38" i="19"/>
  <c r="D38" i="19"/>
  <c r="E38" i="19" s="1"/>
  <c r="H38" i="19" s="1"/>
  <c r="K38" i="19" s="1"/>
  <c r="B35" i="19"/>
  <c r="F34" i="19"/>
  <c r="I51" i="19" s="1"/>
  <c r="C34" i="19"/>
  <c r="I33" i="19"/>
  <c r="F33" i="19"/>
  <c r="C33" i="19"/>
  <c r="D33" i="19" s="1"/>
  <c r="E33" i="19" s="1"/>
  <c r="I32" i="19"/>
  <c r="F32" i="19"/>
  <c r="C32" i="19"/>
  <c r="D32" i="19" s="1"/>
  <c r="E32" i="19" s="1"/>
  <c r="H32" i="19" s="1"/>
  <c r="I31" i="19"/>
  <c r="F31" i="19"/>
  <c r="D31" i="19"/>
  <c r="E31" i="19" s="1"/>
  <c r="H31" i="19" s="1"/>
  <c r="C31" i="19"/>
  <c r="I30" i="19"/>
  <c r="F30" i="19"/>
  <c r="C30" i="19"/>
  <c r="B27" i="19"/>
  <c r="F26" i="19"/>
  <c r="C26" i="19"/>
  <c r="I25" i="19"/>
  <c r="F25" i="19"/>
  <c r="C25" i="19"/>
  <c r="D25" i="19" s="1"/>
  <c r="I24" i="19"/>
  <c r="F24" i="19"/>
  <c r="C24" i="19"/>
  <c r="I23" i="19"/>
  <c r="F23" i="19"/>
  <c r="C23" i="19"/>
  <c r="I22" i="19"/>
  <c r="F22" i="19"/>
  <c r="C22" i="19"/>
  <c r="B19" i="19"/>
  <c r="B44" i="19" s="1"/>
  <c r="F18" i="19"/>
  <c r="F9" i="19" s="1"/>
  <c r="C18" i="19"/>
  <c r="I17" i="19"/>
  <c r="F17" i="19"/>
  <c r="C17" i="19"/>
  <c r="D17" i="19" s="1"/>
  <c r="E17" i="19" s="1"/>
  <c r="I16" i="19"/>
  <c r="F16" i="19"/>
  <c r="C16" i="19"/>
  <c r="D16" i="19" s="1"/>
  <c r="E16" i="19" s="1"/>
  <c r="I15" i="19"/>
  <c r="F15" i="19"/>
  <c r="C15" i="19"/>
  <c r="D15" i="19" s="1"/>
  <c r="I14" i="19"/>
  <c r="F14" i="19"/>
  <c r="C14" i="19"/>
  <c r="D14" i="19" s="1"/>
  <c r="A1" i="19"/>
  <c r="S33" i="17"/>
  <c r="S24" i="17"/>
  <c r="S14" i="17"/>
  <c r="C71" i="17"/>
  <c r="E6" i="18"/>
  <c r="F6" i="18" s="1"/>
  <c r="I6" i="18"/>
  <c r="J6" i="18" s="1"/>
  <c r="N6" i="18"/>
  <c r="E7" i="18"/>
  <c r="E10" i="18" s="1"/>
  <c r="I7" i="18"/>
  <c r="J7" i="18"/>
  <c r="N7" i="18"/>
  <c r="E8" i="18"/>
  <c r="F8" i="18" s="1"/>
  <c r="I8" i="18"/>
  <c r="J8" i="18" s="1"/>
  <c r="N8" i="18"/>
  <c r="E9" i="18"/>
  <c r="F9" i="18"/>
  <c r="T11" i="17" s="1"/>
  <c r="U11" i="17" s="1"/>
  <c r="C11" i="17" s="1"/>
  <c r="E11" i="17" s="1"/>
  <c r="I9" i="18"/>
  <c r="I10" i="18" s="1"/>
  <c r="S31" i="17" s="1"/>
  <c r="N9" i="18"/>
  <c r="D10" i="18"/>
  <c r="H10" i="18"/>
  <c r="L10" i="18"/>
  <c r="F17" i="18"/>
  <c r="F21" i="18" s="1"/>
  <c r="F18" i="18"/>
  <c r="F19" i="18"/>
  <c r="F20" i="18"/>
  <c r="D21" i="18"/>
  <c r="E21" i="18"/>
  <c r="C59" i="17"/>
  <c r="C60" i="17"/>
  <c r="C61" i="17"/>
  <c r="F61" i="17" s="1"/>
  <c r="C58" i="17"/>
  <c r="C52" i="17"/>
  <c r="C49" i="17"/>
  <c r="C50" i="17"/>
  <c r="C51" i="17"/>
  <c r="C48" i="17"/>
  <c r="T38" i="17"/>
  <c r="T39" i="17"/>
  <c r="T40" i="17"/>
  <c r="S38" i="17"/>
  <c r="U38" i="17" s="1"/>
  <c r="C38" i="17" s="1"/>
  <c r="S39" i="17"/>
  <c r="S40" i="17"/>
  <c r="U40" i="17" s="1"/>
  <c r="C40" i="17" s="1"/>
  <c r="T28" i="17"/>
  <c r="T29" i="17"/>
  <c r="U29" i="17" s="1"/>
  <c r="C29" i="17" s="1"/>
  <c r="T30" i="17"/>
  <c r="S28" i="17"/>
  <c r="S29" i="17"/>
  <c r="S30" i="17"/>
  <c r="U30" i="17" s="1"/>
  <c r="C30" i="17" s="1"/>
  <c r="S19" i="17"/>
  <c r="S20" i="17"/>
  <c r="S21" i="17"/>
  <c r="S12" i="17"/>
  <c r="S9" i="17"/>
  <c r="S11" i="17"/>
  <c r="S8" i="17"/>
  <c r="F59" i="17"/>
  <c r="H62" i="17"/>
  <c r="H53" i="17"/>
  <c r="H41" i="17"/>
  <c r="H32" i="17"/>
  <c r="H22" i="17"/>
  <c r="H13" i="17"/>
  <c r="P62" i="17"/>
  <c r="O62" i="17"/>
  <c r="N62" i="17"/>
  <c r="M62" i="17"/>
  <c r="L62" i="17"/>
  <c r="K62" i="17"/>
  <c r="J62" i="17"/>
  <c r="I62" i="17"/>
  <c r="P57" i="17"/>
  <c r="O57" i="17"/>
  <c r="N57" i="17"/>
  <c r="M57" i="17"/>
  <c r="L57" i="17"/>
  <c r="K57" i="17"/>
  <c r="J57" i="17"/>
  <c r="I57" i="17"/>
  <c r="C57" i="17"/>
  <c r="P53" i="17"/>
  <c r="O53" i="17"/>
  <c r="N53" i="17"/>
  <c r="M53" i="17"/>
  <c r="L53" i="17"/>
  <c r="K53" i="17"/>
  <c r="J53" i="17"/>
  <c r="I53" i="17"/>
  <c r="E51" i="17"/>
  <c r="F50" i="17"/>
  <c r="Q41" i="17"/>
  <c r="P41" i="17"/>
  <c r="O41" i="17"/>
  <c r="N41" i="17"/>
  <c r="M41" i="17"/>
  <c r="L41" i="17"/>
  <c r="K41" i="17"/>
  <c r="J41" i="17"/>
  <c r="I41" i="17"/>
  <c r="L36" i="17"/>
  <c r="K36" i="17"/>
  <c r="J36" i="17"/>
  <c r="I36" i="17"/>
  <c r="C36" i="17"/>
  <c r="Q32" i="17"/>
  <c r="P32" i="17"/>
  <c r="O32" i="17"/>
  <c r="N32" i="17"/>
  <c r="M32" i="17"/>
  <c r="L32" i="17"/>
  <c r="K32" i="17"/>
  <c r="J32" i="17"/>
  <c r="I32" i="17"/>
  <c r="T26" i="17"/>
  <c r="T36" i="17" s="1"/>
  <c r="S26" i="17"/>
  <c r="S36" i="17" s="1"/>
  <c r="L26" i="17"/>
  <c r="K26" i="17"/>
  <c r="J26" i="17"/>
  <c r="I26" i="17"/>
  <c r="C26" i="17"/>
  <c r="Q22" i="17"/>
  <c r="P22" i="17"/>
  <c r="O22" i="17"/>
  <c r="N22" i="17"/>
  <c r="M22" i="17"/>
  <c r="L22" i="17"/>
  <c r="K22" i="17"/>
  <c r="J22" i="17"/>
  <c r="I22" i="17"/>
  <c r="T17" i="17"/>
  <c r="S17" i="17"/>
  <c r="L17" i="17"/>
  <c r="K17" i="17"/>
  <c r="J17" i="17"/>
  <c r="I17" i="17"/>
  <c r="C17" i="17"/>
  <c r="C16" i="17"/>
  <c r="Q13" i="17"/>
  <c r="P13" i="17"/>
  <c r="O13" i="17"/>
  <c r="N13" i="17"/>
  <c r="M13" i="17"/>
  <c r="L13" i="17"/>
  <c r="K13" i="17"/>
  <c r="J13" i="17"/>
  <c r="I13" i="17"/>
  <c r="J1" i="17"/>
  <c r="F67" i="15"/>
  <c r="F66" i="15"/>
  <c r="F65" i="15"/>
  <c r="D65" i="15"/>
  <c r="H65" i="15"/>
  <c r="S40" i="15"/>
  <c r="V31" i="15"/>
  <c r="V12" i="15"/>
  <c r="C62" i="15"/>
  <c r="C61" i="15"/>
  <c r="C53" i="15"/>
  <c r="C51" i="15"/>
  <c r="F27" i="19" l="1"/>
  <c r="G23" i="19" s="1"/>
  <c r="H33" i="19"/>
  <c r="G22" i="19"/>
  <c r="D43" i="19"/>
  <c r="G24" i="19"/>
  <c r="H16" i="19"/>
  <c r="E14" i="19"/>
  <c r="J24" i="19"/>
  <c r="E30" i="19"/>
  <c r="K32" i="19"/>
  <c r="K42" i="19"/>
  <c r="O42" i="19"/>
  <c r="O43" i="19" s="1"/>
  <c r="D8" i="19"/>
  <c r="H17" i="19"/>
  <c r="K33" i="19"/>
  <c r="E43" i="19"/>
  <c r="H39" i="19"/>
  <c r="K39" i="19" s="1"/>
  <c r="K43" i="19" s="1"/>
  <c r="K31" i="19"/>
  <c r="E25" i="19"/>
  <c r="H25" i="19" s="1"/>
  <c r="D26" i="19"/>
  <c r="E26" i="19" s="1"/>
  <c r="H26" i="19" s="1"/>
  <c r="J33" i="19"/>
  <c r="F7" i="19"/>
  <c r="C19" i="19"/>
  <c r="F6" i="19"/>
  <c r="C35" i="19"/>
  <c r="F19" i="19"/>
  <c r="G16" i="19" s="1"/>
  <c r="G25" i="19"/>
  <c r="E15" i="19"/>
  <c r="D23" i="19"/>
  <c r="E23" i="19" s="1"/>
  <c r="H23" i="19" s="1"/>
  <c r="F8" i="19"/>
  <c r="I19" i="19"/>
  <c r="I27" i="19"/>
  <c r="J23" i="19" s="1"/>
  <c r="D30" i="19"/>
  <c r="F35" i="19"/>
  <c r="G32" i="19" s="1"/>
  <c r="E34" i="19"/>
  <c r="H34" i="19" s="1"/>
  <c r="F5" i="19"/>
  <c r="D24" i="19"/>
  <c r="E24" i="19" s="1"/>
  <c r="C27" i="19"/>
  <c r="I35" i="19"/>
  <c r="J31" i="19" s="1"/>
  <c r="D18" i="19"/>
  <c r="E18" i="19" s="1"/>
  <c r="D22" i="19"/>
  <c r="D34" i="19"/>
  <c r="O64" i="17"/>
  <c r="P64" i="17"/>
  <c r="K64" i="17"/>
  <c r="H64" i="17"/>
  <c r="L64" i="17"/>
  <c r="M64" i="17"/>
  <c r="J9" i="18"/>
  <c r="F7" i="18"/>
  <c r="T19" i="17" s="1"/>
  <c r="N10" i="18"/>
  <c r="U20" i="17"/>
  <c r="C20" i="17" s="1"/>
  <c r="C70" i="17" s="1"/>
  <c r="J10" i="18"/>
  <c r="T31" i="17" s="1"/>
  <c r="T37" i="17"/>
  <c r="T27" i="17"/>
  <c r="T20" i="17"/>
  <c r="T10" i="17"/>
  <c r="T8" i="17"/>
  <c r="U8" i="17" s="1"/>
  <c r="T18" i="17"/>
  <c r="T22" i="17" s="1"/>
  <c r="F10" i="18"/>
  <c r="T12" i="17" s="1"/>
  <c r="U12" i="17" s="1"/>
  <c r="C12" i="17" s="1"/>
  <c r="T9" i="17"/>
  <c r="T21" i="17"/>
  <c r="U21" i="17" s="1"/>
  <c r="C21" i="17" s="1"/>
  <c r="C53" i="17"/>
  <c r="F53" i="17" s="1"/>
  <c r="S10" i="17"/>
  <c r="U10" i="17" s="1"/>
  <c r="C10" i="17" s="1"/>
  <c r="D70" i="17" s="1"/>
  <c r="S18" i="17"/>
  <c r="U18" i="17" s="1"/>
  <c r="S27" i="17"/>
  <c r="S32" i="17" s="1"/>
  <c r="S37" i="17"/>
  <c r="S41" i="17" s="1"/>
  <c r="U39" i="17"/>
  <c r="C39" i="17" s="1"/>
  <c r="C62" i="17"/>
  <c r="U31" i="17"/>
  <c r="C31" i="17" s="1"/>
  <c r="S13" i="17"/>
  <c r="D64" i="17"/>
  <c r="F52" i="17"/>
  <c r="E30" i="17"/>
  <c r="E59" i="17"/>
  <c r="F49" i="17"/>
  <c r="E60" i="17"/>
  <c r="T32" i="17"/>
  <c r="E48" i="17"/>
  <c r="U9" i="17"/>
  <c r="C9" i="17" s="1"/>
  <c r="U19" i="17"/>
  <c r="C19" i="17" s="1"/>
  <c r="C69" i="17" s="1"/>
  <c r="U28" i="17"/>
  <c r="C28" i="17" s="1"/>
  <c r="F28" i="17" s="1"/>
  <c r="F48" i="17"/>
  <c r="N64" i="17"/>
  <c r="I64" i="17"/>
  <c r="Q64" i="17"/>
  <c r="T41" i="17"/>
  <c r="J64" i="17"/>
  <c r="J65" i="17" s="1"/>
  <c r="F40" i="17"/>
  <c r="E40" i="17"/>
  <c r="E20" i="17"/>
  <c r="E21" i="17"/>
  <c r="F21" i="17"/>
  <c r="F29" i="17"/>
  <c r="E29" i="17"/>
  <c r="F39" i="17"/>
  <c r="E39" i="17"/>
  <c r="F38" i="17"/>
  <c r="E38" i="17"/>
  <c r="F62" i="17"/>
  <c r="E62" i="17"/>
  <c r="F11" i="17"/>
  <c r="F30" i="17"/>
  <c r="E49" i="17"/>
  <c r="F60" i="17"/>
  <c r="D71" i="17"/>
  <c r="E52" i="17"/>
  <c r="E58" i="17"/>
  <c r="F51" i="17"/>
  <c r="S22" i="17"/>
  <c r="F58" i="17"/>
  <c r="E61" i="17"/>
  <c r="E50" i="17"/>
  <c r="R42" i="15"/>
  <c r="S23" i="15"/>
  <c r="R23" i="15"/>
  <c r="C38" i="15"/>
  <c r="F38" i="15" s="1"/>
  <c r="C39" i="15"/>
  <c r="C37" i="15"/>
  <c r="F37" i="15" s="1"/>
  <c r="C28" i="15"/>
  <c r="C29" i="15"/>
  <c r="C30" i="15"/>
  <c r="C31" i="15"/>
  <c r="C27" i="15"/>
  <c r="C19" i="15"/>
  <c r="C20" i="15"/>
  <c r="C21" i="15"/>
  <c r="C18" i="15"/>
  <c r="C9" i="15"/>
  <c r="F9" i="15" s="1"/>
  <c r="C10" i="15"/>
  <c r="C11" i="15"/>
  <c r="C12" i="15"/>
  <c r="C8" i="15"/>
  <c r="C59" i="15"/>
  <c r="C60" i="15"/>
  <c r="C58" i="15"/>
  <c r="E58" i="15" s="1"/>
  <c r="C52" i="15"/>
  <c r="C49" i="15"/>
  <c r="C50" i="15"/>
  <c r="D71" i="15"/>
  <c r="C48" i="15"/>
  <c r="F48" i="15" s="1"/>
  <c r="R38" i="15"/>
  <c r="S38" i="15"/>
  <c r="R39" i="15"/>
  <c r="S39" i="15"/>
  <c r="R40" i="15"/>
  <c r="R41" i="15" s="1"/>
  <c r="R37" i="15"/>
  <c r="S37" i="15"/>
  <c r="S31" i="15"/>
  <c r="R31" i="15"/>
  <c r="R28" i="15"/>
  <c r="S28" i="15"/>
  <c r="T28" i="15" s="1"/>
  <c r="R29" i="15"/>
  <c r="S29" i="15"/>
  <c r="R30" i="15"/>
  <c r="T30" i="15" s="1"/>
  <c r="S30" i="15"/>
  <c r="S27" i="15"/>
  <c r="R27" i="15"/>
  <c r="T27" i="15" s="1"/>
  <c r="S12" i="15"/>
  <c r="R12" i="15"/>
  <c r="R9" i="15"/>
  <c r="S9" i="15"/>
  <c r="R10" i="15"/>
  <c r="S10" i="15"/>
  <c r="R11" i="15"/>
  <c r="S11" i="15"/>
  <c r="S8" i="15"/>
  <c r="R8" i="15"/>
  <c r="R19" i="15"/>
  <c r="S19" i="15"/>
  <c r="R20" i="15"/>
  <c r="S20" i="15"/>
  <c r="R21" i="15"/>
  <c r="S21" i="15"/>
  <c r="T21" i="15" s="1"/>
  <c r="S18" i="15"/>
  <c r="R18" i="15"/>
  <c r="Z9" i="16"/>
  <c r="Y9" i="16"/>
  <c r="Z8" i="16"/>
  <c r="Y8" i="16"/>
  <c r="Z7" i="16"/>
  <c r="Y7" i="16"/>
  <c r="Z6" i="16"/>
  <c r="Y6" i="16"/>
  <c r="AA11" i="16"/>
  <c r="AB9" i="16"/>
  <c r="AA9" i="16"/>
  <c r="AB8" i="16"/>
  <c r="AA8" i="16"/>
  <c r="AB7" i="16"/>
  <c r="AA7" i="16"/>
  <c r="AB6" i="16"/>
  <c r="AA6" i="16"/>
  <c r="Z17" i="16"/>
  <c r="Y17" i="16"/>
  <c r="Z16" i="16"/>
  <c r="Y16" i="16"/>
  <c r="Z15" i="16"/>
  <c r="Y15" i="16"/>
  <c r="Z14" i="16"/>
  <c r="Y14" i="16"/>
  <c r="Z25" i="16"/>
  <c r="Y25" i="16"/>
  <c r="X25" i="16"/>
  <c r="W9" i="16" s="1"/>
  <c r="Z24" i="16"/>
  <c r="Y24" i="16"/>
  <c r="X24" i="16"/>
  <c r="X8" i="16" s="1"/>
  <c r="Z23" i="16"/>
  <c r="Y23" i="16"/>
  <c r="W15" i="16" s="1"/>
  <c r="X23" i="16"/>
  <c r="Z22" i="16"/>
  <c r="Y22" i="16"/>
  <c r="X14" i="16" s="1"/>
  <c r="X22" i="16"/>
  <c r="W6" i="16"/>
  <c r="X17" i="16"/>
  <c r="W17" i="16"/>
  <c r="X16" i="16"/>
  <c r="W16" i="16"/>
  <c r="X15" i="16"/>
  <c r="X9" i="16"/>
  <c r="X7" i="16"/>
  <c r="W7" i="16"/>
  <c r="X6" i="16"/>
  <c r="W12" i="16"/>
  <c r="P9" i="16"/>
  <c r="S7" i="16"/>
  <c r="S6" i="16"/>
  <c r="F10" i="16"/>
  <c r="U8" i="16" s="1"/>
  <c r="E10" i="16"/>
  <c r="U7" i="16" s="1"/>
  <c r="D10" i="16"/>
  <c r="U6" i="16" s="1"/>
  <c r="N9" i="16"/>
  <c r="M9" i="16"/>
  <c r="L9" i="16"/>
  <c r="K9" i="16"/>
  <c r="J9" i="16"/>
  <c r="I9" i="16"/>
  <c r="G9" i="16"/>
  <c r="N8" i="16"/>
  <c r="M8" i="16"/>
  <c r="L8" i="16"/>
  <c r="K8" i="16"/>
  <c r="J8" i="16"/>
  <c r="I8" i="16"/>
  <c r="G8" i="16"/>
  <c r="N7" i="16"/>
  <c r="M7" i="16"/>
  <c r="L7" i="16"/>
  <c r="K7" i="16"/>
  <c r="J7" i="16"/>
  <c r="I7" i="16"/>
  <c r="G7" i="16"/>
  <c r="N6" i="16"/>
  <c r="M6" i="16"/>
  <c r="L6" i="16"/>
  <c r="K6" i="16"/>
  <c r="J6" i="16"/>
  <c r="I6" i="16"/>
  <c r="G6" i="16"/>
  <c r="D68" i="15"/>
  <c r="E49" i="15"/>
  <c r="H62" i="15"/>
  <c r="H57" i="15"/>
  <c r="H53" i="15"/>
  <c r="H41" i="15"/>
  <c r="H36" i="15"/>
  <c r="H32" i="15"/>
  <c r="H26" i="15"/>
  <c r="H22" i="15"/>
  <c r="H17" i="15"/>
  <c r="H13" i="15"/>
  <c r="O62" i="15"/>
  <c r="N62" i="15"/>
  <c r="M62" i="15"/>
  <c r="L62" i="15"/>
  <c r="K62" i="15"/>
  <c r="J62" i="15"/>
  <c r="I62" i="15"/>
  <c r="D62" i="15"/>
  <c r="F61" i="15"/>
  <c r="E60" i="15"/>
  <c r="E59" i="15"/>
  <c r="O57" i="15"/>
  <c r="N57" i="15"/>
  <c r="M57" i="15"/>
  <c r="L57" i="15"/>
  <c r="K57" i="15"/>
  <c r="J57" i="15"/>
  <c r="I57" i="15"/>
  <c r="C57" i="15"/>
  <c r="O53" i="15"/>
  <c r="N53" i="15"/>
  <c r="M53" i="15"/>
  <c r="L53" i="15"/>
  <c r="K53" i="15"/>
  <c r="J53" i="15"/>
  <c r="I53" i="15"/>
  <c r="D53" i="15"/>
  <c r="P41" i="15"/>
  <c r="O41" i="15"/>
  <c r="N41" i="15"/>
  <c r="M41" i="15"/>
  <c r="L41" i="15"/>
  <c r="K41" i="15"/>
  <c r="J41" i="15"/>
  <c r="I41" i="15"/>
  <c r="D41" i="15"/>
  <c r="K36" i="15"/>
  <c r="J36" i="15"/>
  <c r="I36" i="15"/>
  <c r="C36" i="15"/>
  <c r="P32" i="15"/>
  <c r="O32" i="15"/>
  <c r="N32" i="15"/>
  <c r="M32" i="15"/>
  <c r="L32" i="15"/>
  <c r="K32" i="15"/>
  <c r="J32" i="15"/>
  <c r="I32" i="15"/>
  <c r="D32" i="15"/>
  <c r="F30" i="15"/>
  <c r="T29" i="15"/>
  <c r="F29" i="15"/>
  <c r="S26" i="15"/>
  <c r="S36" i="15" s="1"/>
  <c r="R26" i="15"/>
  <c r="R36" i="15" s="1"/>
  <c r="K26" i="15"/>
  <c r="J26" i="15"/>
  <c r="I26" i="15"/>
  <c r="C26" i="15"/>
  <c r="P22" i="15"/>
  <c r="O22" i="15"/>
  <c r="N22" i="15"/>
  <c r="M22" i="15"/>
  <c r="L22" i="15"/>
  <c r="K22" i="15"/>
  <c r="J22" i="15"/>
  <c r="I22" i="15"/>
  <c r="D22" i="15"/>
  <c r="F21" i="15"/>
  <c r="S17" i="15"/>
  <c r="R17" i="15"/>
  <c r="K17" i="15"/>
  <c r="J17" i="15"/>
  <c r="I17" i="15"/>
  <c r="C17" i="15"/>
  <c r="C16" i="15"/>
  <c r="P13" i="15"/>
  <c r="O13" i="15"/>
  <c r="N13" i="15"/>
  <c r="M13" i="15"/>
  <c r="L13" i="15"/>
  <c r="K13" i="15"/>
  <c r="J13" i="15"/>
  <c r="J64" i="15" s="1"/>
  <c r="I13" i="15"/>
  <c r="D13" i="15"/>
  <c r="T10" i="15"/>
  <c r="T9" i="15"/>
  <c r="J1" i="15"/>
  <c r="H65" i="14"/>
  <c r="V50" i="14"/>
  <c r="T53" i="14"/>
  <c r="T54" i="14" s="1"/>
  <c r="T52" i="14"/>
  <c r="T31" i="14"/>
  <c r="T32" i="14"/>
  <c r="T12" i="14"/>
  <c r="T13" i="14"/>
  <c r="R41" i="14"/>
  <c r="R40" i="14"/>
  <c r="H43" i="19" l="1"/>
  <c r="D27" i="19"/>
  <c r="G30" i="19"/>
  <c r="H24" i="19"/>
  <c r="D7" i="19"/>
  <c r="K23" i="19"/>
  <c r="D9" i="19"/>
  <c r="H18" i="19"/>
  <c r="M16" i="19"/>
  <c r="O16" i="19" s="1"/>
  <c r="J14" i="19"/>
  <c r="I47" i="19"/>
  <c r="H30" i="19"/>
  <c r="E35" i="19"/>
  <c r="D19" i="19"/>
  <c r="J22" i="19"/>
  <c r="D35" i="19"/>
  <c r="G31" i="19"/>
  <c r="G14" i="19"/>
  <c r="M14" i="19" s="1"/>
  <c r="G15" i="19"/>
  <c r="M15" i="19" s="1"/>
  <c r="K25" i="19"/>
  <c r="E22" i="19"/>
  <c r="E19" i="19"/>
  <c r="H14" i="19"/>
  <c r="D5" i="19"/>
  <c r="J16" i="19"/>
  <c r="H15" i="19"/>
  <c r="D6" i="19"/>
  <c r="C44" i="19"/>
  <c r="K16" i="19"/>
  <c r="F11" i="19"/>
  <c r="H5" i="19" s="1"/>
  <c r="J17" i="19"/>
  <c r="K17" i="19"/>
  <c r="F44" i="19"/>
  <c r="F47" i="19"/>
  <c r="I50" i="19" s="1"/>
  <c r="M32" i="19"/>
  <c r="M31" i="19"/>
  <c r="J30" i="19"/>
  <c r="M30" i="19"/>
  <c r="J15" i="19"/>
  <c r="J32" i="19"/>
  <c r="G17" i="19"/>
  <c r="M17" i="19" s="1"/>
  <c r="O17" i="19" s="1"/>
  <c r="M22" i="19"/>
  <c r="M23" i="19"/>
  <c r="O23" i="19" s="1"/>
  <c r="M25" i="19"/>
  <c r="O25" i="19" s="1"/>
  <c r="M24" i="19"/>
  <c r="G33" i="19"/>
  <c r="M33" i="19" s="1"/>
  <c r="J25" i="19"/>
  <c r="F10" i="17"/>
  <c r="C63" i="17"/>
  <c r="O65" i="17"/>
  <c r="N65" i="17"/>
  <c r="E10" i="17"/>
  <c r="P65" i="17"/>
  <c r="E53" i="17"/>
  <c r="D65" i="17"/>
  <c r="L65" i="17"/>
  <c r="M65" i="17"/>
  <c r="I65" i="17"/>
  <c r="K65" i="17"/>
  <c r="H65" i="17"/>
  <c r="T13" i="17"/>
  <c r="T23" i="17" s="1"/>
  <c r="U27" i="17"/>
  <c r="C27" i="17" s="1"/>
  <c r="F20" i="17"/>
  <c r="U37" i="17"/>
  <c r="S42" i="17"/>
  <c r="D69" i="17"/>
  <c r="S23" i="17"/>
  <c r="T42" i="17"/>
  <c r="U22" i="17"/>
  <c r="E9" i="17"/>
  <c r="F9" i="17"/>
  <c r="E28" i="17"/>
  <c r="E19" i="17"/>
  <c r="C18" i="17"/>
  <c r="F19" i="17"/>
  <c r="C8" i="17"/>
  <c r="U13" i="17"/>
  <c r="E31" i="17"/>
  <c r="F31" i="17"/>
  <c r="E12" i="17"/>
  <c r="D72" i="17"/>
  <c r="F12" i="17"/>
  <c r="D72" i="15"/>
  <c r="D70" i="15"/>
  <c r="D69" i="15"/>
  <c r="E52" i="15"/>
  <c r="E51" i="15"/>
  <c r="F51" i="15"/>
  <c r="F50" i="15"/>
  <c r="T37" i="15"/>
  <c r="S22" i="15"/>
  <c r="W14" i="16"/>
  <c r="W18" i="16" s="1"/>
  <c r="W8" i="16"/>
  <c r="W10" i="16" s="1"/>
  <c r="X26" i="16"/>
  <c r="N10" i="16"/>
  <c r="G10" i="16"/>
  <c r="P10" i="16" s="1"/>
  <c r="J10" i="16"/>
  <c r="J12" i="16" s="1"/>
  <c r="Y26" i="16"/>
  <c r="L10" i="16"/>
  <c r="Z26" i="16"/>
  <c r="I10" i="16"/>
  <c r="K10" i="16"/>
  <c r="M10" i="16"/>
  <c r="N11" i="16" s="1"/>
  <c r="U9" i="16"/>
  <c r="AB10" i="16"/>
  <c r="Y10" i="16"/>
  <c r="X10" i="16"/>
  <c r="Z10" i="16"/>
  <c r="X18" i="16"/>
  <c r="Z18" i="16"/>
  <c r="L11" i="16"/>
  <c r="D73" i="15"/>
  <c r="F62" i="15"/>
  <c r="F49" i="15"/>
  <c r="H64" i="15"/>
  <c r="L64" i="15"/>
  <c r="M64" i="15"/>
  <c r="N64" i="15"/>
  <c r="N65" i="15" s="1"/>
  <c r="T11" i="15"/>
  <c r="T38" i="15"/>
  <c r="O64" i="15"/>
  <c r="F20" i="15"/>
  <c r="F31" i="15"/>
  <c r="E30" i="15"/>
  <c r="D64" i="15"/>
  <c r="I64" i="15"/>
  <c r="I65" i="15" s="1"/>
  <c r="P64" i="15"/>
  <c r="E18" i="15"/>
  <c r="K64" i="15"/>
  <c r="K65" i="15" s="1"/>
  <c r="T18" i="15"/>
  <c r="T40" i="15"/>
  <c r="C40" i="15" s="1"/>
  <c r="F40" i="15" s="1"/>
  <c r="F59" i="15"/>
  <c r="C22" i="15"/>
  <c r="E40" i="15"/>
  <c r="E31" i="15"/>
  <c r="L65" i="15"/>
  <c r="F11" i="15"/>
  <c r="E11" i="15"/>
  <c r="O65" i="15"/>
  <c r="F39" i="15"/>
  <c r="E39" i="15"/>
  <c r="C69" i="15"/>
  <c r="F19" i="15"/>
  <c r="E19" i="15"/>
  <c r="R32" i="15"/>
  <c r="S41" i="15"/>
  <c r="S42" i="15" s="1"/>
  <c r="E38" i="15"/>
  <c r="F27" i="15"/>
  <c r="E50" i="15"/>
  <c r="F52" i="15"/>
  <c r="F60" i="15"/>
  <c r="C71" i="15"/>
  <c r="C73" i="15" s="1"/>
  <c r="S32" i="15"/>
  <c r="T8" i="15"/>
  <c r="T20" i="15"/>
  <c r="E27" i="15"/>
  <c r="T31" i="15"/>
  <c r="T32" i="15" s="1"/>
  <c r="E9" i="15"/>
  <c r="T19" i="15"/>
  <c r="E21" i="15"/>
  <c r="E29" i="15"/>
  <c r="E37" i="15"/>
  <c r="T39" i="15"/>
  <c r="R13" i="15"/>
  <c r="R22" i="15"/>
  <c r="E48" i="15"/>
  <c r="F58" i="15"/>
  <c r="E61" i="15"/>
  <c r="Q67" i="14"/>
  <c r="H8" i="19" l="1"/>
  <c r="H7" i="19"/>
  <c r="O33" i="19"/>
  <c r="S15" i="19"/>
  <c r="T15" i="19" s="1"/>
  <c r="S14" i="19"/>
  <c r="M19" i="19"/>
  <c r="N17" i="19" s="1"/>
  <c r="Q17" i="19" s="1"/>
  <c r="M35" i="19"/>
  <c r="N33" i="19" s="1"/>
  <c r="Q33" i="19" s="1"/>
  <c r="N30" i="19"/>
  <c r="Q30" i="19" s="1"/>
  <c r="O15" i="19"/>
  <c r="K15" i="19"/>
  <c r="S17" i="19"/>
  <c r="T17" i="19" s="1"/>
  <c r="S24" i="19"/>
  <c r="T24" i="19" s="1"/>
  <c r="S25" i="19"/>
  <c r="T25" i="19"/>
  <c r="O31" i="19"/>
  <c r="D11" i="19"/>
  <c r="H35" i="19"/>
  <c r="O30" i="19"/>
  <c r="K30" i="19"/>
  <c r="K35" i="19" s="1"/>
  <c r="H11" i="19"/>
  <c r="H9" i="19"/>
  <c r="H6" i="19"/>
  <c r="E44" i="19"/>
  <c r="H22" i="19"/>
  <c r="E27" i="19"/>
  <c r="S23" i="19"/>
  <c r="T23" i="19" s="1"/>
  <c r="O32" i="19"/>
  <c r="O14" i="19"/>
  <c r="O19" i="19" s="1"/>
  <c r="H19" i="19"/>
  <c r="K14" i="19"/>
  <c r="K19" i="19" s="1"/>
  <c r="M27" i="19"/>
  <c r="N22" i="19" s="1"/>
  <c r="Q22" i="19" s="1"/>
  <c r="S22" i="19"/>
  <c r="D44" i="19"/>
  <c r="S16" i="19"/>
  <c r="T16" i="19" s="1"/>
  <c r="O24" i="19"/>
  <c r="K24" i="19"/>
  <c r="U32" i="17"/>
  <c r="U41" i="17"/>
  <c r="C37" i="17"/>
  <c r="E18" i="17"/>
  <c r="C68" i="17"/>
  <c r="C73" i="17"/>
  <c r="F18" i="17"/>
  <c r="C22" i="17"/>
  <c r="F22" i="17" s="1"/>
  <c r="C13" i="17"/>
  <c r="D68" i="17"/>
  <c r="D73" i="17" s="1"/>
  <c r="E8" i="17"/>
  <c r="F8" i="17"/>
  <c r="C32" i="17"/>
  <c r="F27" i="17"/>
  <c r="E27" i="17"/>
  <c r="C41" i="15"/>
  <c r="F41" i="15" s="1"/>
  <c r="C63" i="15"/>
  <c r="W11" i="16"/>
  <c r="AA10" i="16"/>
  <c r="U10" i="16"/>
  <c r="W19" i="16"/>
  <c r="I12" i="16"/>
  <c r="J11" i="16"/>
  <c r="Y11" i="16"/>
  <c r="Y18" i="16"/>
  <c r="Y19" i="16" s="1"/>
  <c r="M65" i="15"/>
  <c r="C32" i="15"/>
  <c r="F32" i="15" s="1"/>
  <c r="E62" i="15"/>
  <c r="T41" i="15"/>
  <c r="C70" i="15"/>
  <c r="E20" i="15"/>
  <c r="C68" i="15"/>
  <c r="E73" i="15" s="1"/>
  <c r="F18" i="15"/>
  <c r="J65" i="15"/>
  <c r="T22" i="15"/>
  <c r="F10" i="15"/>
  <c r="E10" i="15"/>
  <c r="S13" i="15"/>
  <c r="E28" i="15"/>
  <c r="F28" i="15"/>
  <c r="F22" i="15"/>
  <c r="E22" i="15"/>
  <c r="E12" i="15"/>
  <c r="F12" i="15"/>
  <c r="E53" i="15"/>
  <c r="F53" i="15"/>
  <c r="E8" i="15"/>
  <c r="C13" i="15"/>
  <c r="F8" i="15"/>
  <c r="E41" i="15"/>
  <c r="T12" i="15"/>
  <c r="C62" i="14"/>
  <c r="C60" i="14"/>
  <c r="Q41" i="14"/>
  <c r="Q37" i="14"/>
  <c r="Q22" i="14"/>
  <c r="Q18" i="14"/>
  <c r="N15" i="19" l="1"/>
  <c r="Q15" i="19" s="1"/>
  <c r="N16" i="19"/>
  <c r="Q16" i="19" s="1"/>
  <c r="E11" i="19"/>
  <c r="E8" i="19"/>
  <c r="E6" i="19"/>
  <c r="N23" i="19"/>
  <c r="Q23" i="19" s="1"/>
  <c r="K47" i="19"/>
  <c r="N31" i="19"/>
  <c r="Q31" i="19" s="1"/>
  <c r="N24" i="19"/>
  <c r="Q24" i="19" s="1"/>
  <c r="E9" i="19"/>
  <c r="E7" i="19"/>
  <c r="M47" i="19"/>
  <c r="S26" i="19"/>
  <c r="N32" i="19"/>
  <c r="Q32" i="19" s="1"/>
  <c r="O35" i="19"/>
  <c r="N25" i="19"/>
  <c r="Q25" i="19" s="1"/>
  <c r="N14" i="19"/>
  <c r="Q14" i="19" s="1"/>
  <c r="T22" i="19"/>
  <c r="K22" i="19"/>
  <c r="K27" i="19" s="1"/>
  <c r="H27" i="19"/>
  <c r="H47" i="19" s="1"/>
  <c r="I49" i="19" s="1"/>
  <c r="I52" i="19" s="1"/>
  <c r="O22" i="19"/>
  <c r="O27" i="19" s="1"/>
  <c r="S18" i="19"/>
  <c r="E5" i="19"/>
  <c r="T14" i="19"/>
  <c r="C64" i="17"/>
  <c r="C65" i="17" s="1"/>
  <c r="F37" i="17"/>
  <c r="C41" i="17"/>
  <c r="F41" i="17" s="1"/>
  <c r="E37" i="17"/>
  <c r="E41" i="17" s="1"/>
  <c r="E73" i="17"/>
  <c r="E22" i="17"/>
  <c r="E32" i="17"/>
  <c r="F32" i="17"/>
  <c r="F13" i="17"/>
  <c r="E13" i="17"/>
  <c r="E32" i="15"/>
  <c r="F13" i="15"/>
  <c r="E13" i="15"/>
  <c r="C64" i="15"/>
  <c r="C65" i="15" s="1"/>
  <c r="T13" i="15"/>
  <c r="D64" i="14"/>
  <c r="F14" i="12"/>
  <c r="F15" i="12" s="1"/>
  <c r="L14" i="12"/>
  <c r="I14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C69" i="14"/>
  <c r="C68" i="14"/>
  <c r="I64" i="14"/>
  <c r="O47" i="19" l="1"/>
  <c r="H44" i="19"/>
  <c r="F16" i="12"/>
  <c r="R31" i="14"/>
  <c r="R29" i="14"/>
  <c r="R30" i="14"/>
  <c r="R28" i="14"/>
  <c r="R27" i="14"/>
  <c r="C59" i="14"/>
  <c r="C61" i="14"/>
  <c r="C58" i="14"/>
  <c r="C52" i="14"/>
  <c r="C49" i="14"/>
  <c r="C50" i="14"/>
  <c r="C51" i="14"/>
  <c r="C48" i="14"/>
  <c r="Q38" i="14"/>
  <c r="R38" i="14"/>
  <c r="Q39" i="14"/>
  <c r="R39" i="14"/>
  <c r="Q40" i="14"/>
  <c r="R37" i="14"/>
  <c r="Q31" i="14"/>
  <c r="R12" i="14"/>
  <c r="Q19" i="14"/>
  <c r="R19" i="14"/>
  <c r="Q20" i="14"/>
  <c r="R20" i="14"/>
  <c r="Q21" i="14"/>
  <c r="R21" i="14"/>
  <c r="R18" i="14"/>
  <c r="R9" i="14"/>
  <c r="R10" i="14"/>
  <c r="R11" i="14"/>
  <c r="R8" i="14"/>
  <c r="Q12" i="14"/>
  <c r="D65" i="14"/>
  <c r="I65" i="14"/>
  <c r="C36" i="14"/>
  <c r="C26" i="14"/>
  <c r="C17" i="14"/>
  <c r="H62" i="14"/>
  <c r="H57" i="14"/>
  <c r="H53" i="14"/>
  <c r="H41" i="14"/>
  <c r="H36" i="14"/>
  <c r="H32" i="14"/>
  <c r="H26" i="14"/>
  <c r="H22" i="14"/>
  <c r="H17" i="14"/>
  <c r="H13" i="14"/>
  <c r="H64" i="14" s="1"/>
  <c r="N62" i="14" l="1"/>
  <c r="M62" i="14"/>
  <c r="L62" i="14"/>
  <c r="K62" i="14"/>
  <c r="J62" i="14"/>
  <c r="I62" i="14"/>
  <c r="D62" i="14"/>
  <c r="F61" i="14"/>
  <c r="E60" i="14"/>
  <c r="F60" i="14"/>
  <c r="E59" i="14"/>
  <c r="F59" i="14"/>
  <c r="F58" i="14"/>
  <c r="N57" i="14"/>
  <c r="M57" i="14"/>
  <c r="L57" i="14"/>
  <c r="K57" i="14"/>
  <c r="J57" i="14"/>
  <c r="I57" i="14"/>
  <c r="D57" i="14"/>
  <c r="C57" i="14"/>
  <c r="N53" i="14"/>
  <c r="M53" i="14"/>
  <c r="L53" i="14"/>
  <c r="K53" i="14"/>
  <c r="J53" i="14"/>
  <c r="I53" i="14"/>
  <c r="D53" i="14"/>
  <c r="F52" i="14"/>
  <c r="F51" i="14"/>
  <c r="F49" i="14"/>
  <c r="F48" i="14"/>
  <c r="D42" i="14"/>
  <c r="O41" i="14"/>
  <c r="N41" i="14"/>
  <c r="M41" i="14"/>
  <c r="L41" i="14"/>
  <c r="K41" i="14"/>
  <c r="J41" i="14"/>
  <c r="I41" i="14"/>
  <c r="D41" i="14"/>
  <c r="C40" i="14"/>
  <c r="C37" i="14"/>
  <c r="F37" i="14" s="1"/>
  <c r="J36" i="14"/>
  <c r="I36" i="14"/>
  <c r="D36" i="14"/>
  <c r="O32" i="14"/>
  <c r="N32" i="14"/>
  <c r="M32" i="14"/>
  <c r="L32" i="14"/>
  <c r="K32" i="14"/>
  <c r="J32" i="14"/>
  <c r="I32" i="14"/>
  <c r="D32" i="14"/>
  <c r="S31" i="14"/>
  <c r="C31" i="14"/>
  <c r="F31" i="14" s="1"/>
  <c r="C30" i="14"/>
  <c r="S28" i="14"/>
  <c r="Q32" i="14"/>
  <c r="C27" i="14"/>
  <c r="F27" i="14" s="1"/>
  <c r="R26" i="14"/>
  <c r="R36" i="14" s="1"/>
  <c r="Q26" i="14"/>
  <c r="Q36" i="14" s="1"/>
  <c r="J26" i="14"/>
  <c r="I26" i="14"/>
  <c r="D26" i="14"/>
  <c r="D23" i="14"/>
  <c r="O22" i="14"/>
  <c r="N22" i="14"/>
  <c r="M22" i="14"/>
  <c r="L22" i="14"/>
  <c r="K22" i="14"/>
  <c r="J22" i="14"/>
  <c r="I22" i="14"/>
  <c r="D22" i="14"/>
  <c r="S21" i="14"/>
  <c r="S20" i="14"/>
  <c r="C20" i="14"/>
  <c r="E20" i="14" s="1"/>
  <c r="C19" i="14"/>
  <c r="F19" i="14" s="1"/>
  <c r="R17" i="14"/>
  <c r="Q17" i="14"/>
  <c r="J17" i="14"/>
  <c r="I17" i="14"/>
  <c r="D17" i="14"/>
  <c r="C16" i="14"/>
  <c r="O13" i="14"/>
  <c r="N13" i="14"/>
  <c r="M13" i="14"/>
  <c r="M64" i="14" s="1"/>
  <c r="L13" i="14"/>
  <c r="L64" i="14" s="1"/>
  <c r="K13" i="14"/>
  <c r="K64" i="14" s="1"/>
  <c r="J13" i="14"/>
  <c r="J64" i="14" s="1"/>
  <c r="J65" i="14" s="1"/>
  <c r="I13" i="14"/>
  <c r="D13" i="14"/>
  <c r="C12" i="14"/>
  <c r="C10" i="14"/>
  <c r="S9" i="14"/>
  <c r="C8" i="14"/>
  <c r="F8" i="14" s="1"/>
  <c r="Q1" i="14"/>
  <c r="F40" i="14" l="1"/>
  <c r="C70" i="14"/>
  <c r="F62" i="14"/>
  <c r="E8" i="14"/>
  <c r="S10" i="14"/>
  <c r="K65" i="14"/>
  <c r="S19" i="14"/>
  <c r="C39" i="14"/>
  <c r="E39" i="14" s="1"/>
  <c r="E48" i="14"/>
  <c r="E58" i="14"/>
  <c r="S27" i="14"/>
  <c r="C11" i="14"/>
  <c r="F11" i="14" s="1"/>
  <c r="F20" i="14"/>
  <c r="C9" i="14"/>
  <c r="F9" i="14" s="1"/>
  <c r="S12" i="14"/>
  <c r="Q71" i="14" s="1"/>
  <c r="N64" i="14"/>
  <c r="N65" i="14" s="1"/>
  <c r="C18" i="14"/>
  <c r="R32" i="14"/>
  <c r="S40" i="14"/>
  <c r="E49" i="14"/>
  <c r="C38" i="14"/>
  <c r="R13" i="14"/>
  <c r="R22" i="14"/>
  <c r="O64" i="14"/>
  <c r="Q13" i="14"/>
  <c r="Q68" i="14"/>
  <c r="S29" i="14"/>
  <c r="S37" i="14"/>
  <c r="C53" i="14"/>
  <c r="E53" i="14" s="1"/>
  <c r="F12" i="14"/>
  <c r="E12" i="14"/>
  <c r="F53" i="14"/>
  <c r="E30" i="14"/>
  <c r="F30" i="14"/>
  <c r="F10" i="14"/>
  <c r="E10" i="14"/>
  <c r="F38" i="14"/>
  <c r="E38" i="14"/>
  <c r="L65" i="14"/>
  <c r="S8" i="14"/>
  <c r="C21" i="14"/>
  <c r="C29" i="14"/>
  <c r="E37" i="14"/>
  <c r="S39" i="14"/>
  <c r="S41" i="14" s="1"/>
  <c r="F50" i="14"/>
  <c r="E62" i="14"/>
  <c r="S11" i="14"/>
  <c r="C28" i="14"/>
  <c r="S38" i="14"/>
  <c r="E40" i="14"/>
  <c r="E51" i="14"/>
  <c r="S18" i="14"/>
  <c r="S22" i="14" s="1"/>
  <c r="S30" i="14"/>
  <c r="E61" i="14"/>
  <c r="E19" i="14"/>
  <c r="E27" i="14"/>
  <c r="E31" i="14"/>
  <c r="E52" i="14"/>
  <c r="E50" i="14"/>
  <c r="Q21" i="10"/>
  <c r="E18" i="14" l="1"/>
  <c r="C67" i="14"/>
  <c r="C71" i="14" s="1"/>
  <c r="F39" i="14"/>
  <c r="C41" i="14"/>
  <c r="F41" i="14" s="1"/>
  <c r="Q69" i="14"/>
  <c r="Q70" i="14"/>
  <c r="S32" i="14"/>
  <c r="E11" i="14"/>
  <c r="C13" i="14"/>
  <c r="M65" i="14"/>
  <c r="E9" i="14"/>
  <c r="F18" i="14"/>
  <c r="C22" i="14"/>
  <c r="E41" i="14"/>
  <c r="F28" i="14"/>
  <c r="E28" i="14"/>
  <c r="E29" i="14"/>
  <c r="F29" i="14"/>
  <c r="E21" i="14"/>
  <c r="F21" i="14"/>
  <c r="C32" i="14"/>
  <c r="S13" i="14"/>
  <c r="P40" i="10"/>
  <c r="P21" i="10"/>
  <c r="C42" i="14" l="1"/>
  <c r="F22" i="14"/>
  <c r="C64" i="14"/>
  <c r="C65" i="14" s="1"/>
  <c r="Q72" i="14"/>
  <c r="E13" i="14"/>
  <c r="F13" i="14"/>
  <c r="E22" i="14"/>
  <c r="C23" i="14"/>
  <c r="F32" i="14"/>
  <c r="E32" i="14"/>
  <c r="M57" i="10"/>
  <c r="K57" i="10"/>
  <c r="G19" i="11" l="1"/>
  <c r="F19" i="11"/>
  <c r="F20" i="11" s="1"/>
  <c r="D67" i="10"/>
  <c r="E67" i="10" s="1"/>
  <c r="C59" i="10"/>
  <c r="C60" i="10"/>
  <c r="E60" i="10" s="1"/>
  <c r="C61" i="10"/>
  <c r="F61" i="10" s="1"/>
  <c r="C58" i="10"/>
  <c r="F58" i="10" s="1"/>
  <c r="C52" i="10"/>
  <c r="F52" i="10" s="1"/>
  <c r="C49" i="10"/>
  <c r="F49" i="10" s="1"/>
  <c r="C50" i="10"/>
  <c r="C51" i="10"/>
  <c r="C48" i="10"/>
  <c r="P38" i="10"/>
  <c r="R38" i="10" s="1"/>
  <c r="Q38" i="10"/>
  <c r="P39" i="10"/>
  <c r="Q39" i="10"/>
  <c r="R39" i="10" s="1"/>
  <c r="R40" i="10"/>
  <c r="Q40" i="10"/>
  <c r="Q37" i="10"/>
  <c r="P37" i="10"/>
  <c r="Q31" i="10"/>
  <c r="P31" i="10"/>
  <c r="P28" i="10"/>
  <c r="Q28" i="10"/>
  <c r="R28" i="10" s="1"/>
  <c r="P29" i="10"/>
  <c r="Q29" i="10"/>
  <c r="P30" i="10"/>
  <c r="Q30" i="10"/>
  <c r="P27" i="10"/>
  <c r="Q27" i="10"/>
  <c r="Q19" i="10"/>
  <c r="R19" i="10" s="1"/>
  <c r="Q20" i="10"/>
  <c r="R20" i="10" s="1"/>
  <c r="Q18" i="10"/>
  <c r="P19" i="10"/>
  <c r="P20" i="10"/>
  <c r="P18" i="10"/>
  <c r="P12" i="10"/>
  <c r="Q12" i="10"/>
  <c r="Q9" i="10"/>
  <c r="Q10" i="10"/>
  <c r="Q11" i="10"/>
  <c r="Q8" i="10"/>
  <c r="P9" i="10"/>
  <c r="P10" i="10"/>
  <c r="R10" i="10" s="1"/>
  <c r="P11" i="10"/>
  <c r="C11" i="10" s="1"/>
  <c r="F11" i="10" s="1"/>
  <c r="P8" i="10"/>
  <c r="H62" i="10"/>
  <c r="H57" i="10"/>
  <c r="H53" i="10"/>
  <c r="H41" i="10"/>
  <c r="H36" i="10"/>
  <c r="H32" i="10"/>
  <c r="H26" i="10"/>
  <c r="H22" i="10"/>
  <c r="H17" i="10"/>
  <c r="H13" i="10"/>
  <c r="D70" i="10"/>
  <c r="E70" i="10" s="1"/>
  <c r="D69" i="10"/>
  <c r="E69" i="10" s="1"/>
  <c r="D68" i="10"/>
  <c r="E68" i="10" s="1"/>
  <c r="M62" i="10"/>
  <c r="L62" i="10"/>
  <c r="K62" i="10"/>
  <c r="J62" i="10"/>
  <c r="I62" i="10"/>
  <c r="D62" i="10"/>
  <c r="F59" i="10"/>
  <c r="L57" i="10"/>
  <c r="J57" i="10"/>
  <c r="I57" i="10"/>
  <c r="D57" i="10"/>
  <c r="C57" i="10"/>
  <c r="M53" i="10"/>
  <c r="L53" i="10"/>
  <c r="K53" i="10"/>
  <c r="J53" i="10"/>
  <c r="I53" i="10"/>
  <c r="D53" i="10"/>
  <c r="F51" i="10"/>
  <c r="F50" i="10"/>
  <c r="N41" i="10"/>
  <c r="M41" i="10"/>
  <c r="L41" i="10"/>
  <c r="K41" i="10"/>
  <c r="J41" i="10"/>
  <c r="I41" i="10"/>
  <c r="D41" i="10"/>
  <c r="C40" i="10"/>
  <c r="F40" i="10" s="1"/>
  <c r="I36" i="10"/>
  <c r="D36" i="10"/>
  <c r="N32" i="10"/>
  <c r="M32" i="10"/>
  <c r="L32" i="10"/>
  <c r="K32" i="10"/>
  <c r="J32" i="10"/>
  <c r="I32" i="10"/>
  <c r="D32" i="10"/>
  <c r="R30" i="10"/>
  <c r="Q26" i="10"/>
  <c r="Q36" i="10" s="1"/>
  <c r="P26" i="10"/>
  <c r="P36" i="10" s="1"/>
  <c r="I26" i="10"/>
  <c r="D26" i="10"/>
  <c r="N22" i="10"/>
  <c r="M22" i="10"/>
  <c r="L22" i="10"/>
  <c r="K22" i="10"/>
  <c r="J22" i="10"/>
  <c r="I22" i="10"/>
  <c r="D22" i="10"/>
  <c r="R21" i="10"/>
  <c r="C21" i="10"/>
  <c r="F21" i="10" s="1"/>
  <c r="Q17" i="10"/>
  <c r="P17" i="10"/>
  <c r="I17" i="10"/>
  <c r="D17" i="10"/>
  <c r="C16" i="10"/>
  <c r="N13" i="10"/>
  <c r="M13" i="10"/>
  <c r="L13" i="10"/>
  <c r="K13" i="10"/>
  <c r="J13" i="10"/>
  <c r="I13" i="10"/>
  <c r="D13" i="10"/>
  <c r="P1" i="10"/>
  <c r="P13" i="10" l="1"/>
  <c r="P22" i="10"/>
  <c r="C38" i="10"/>
  <c r="F38" i="10" s="1"/>
  <c r="R37" i="10"/>
  <c r="Q41" i="10"/>
  <c r="C19" i="10"/>
  <c r="F19" i="10" s="1"/>
  <c r="K64" i="10"/>
  <c r="C20" i="10"/>
  <c r="F20" i="10" s="1"/>
  <c r="Q32" i="10"/>
  <c r="H64" i="10"/>
  <c r="P41" i="10"/>
  <c r="Q22" i="10"/>
  <c r="C39" i="10"/>
  <c r="E38" i="10"/>
  <c r="C37" i="10"/>
  <c r="F37" i="10" s="1"/>
  <c r="R31" i="10"/>
  <c r="S31" i="10" s="1"/>
  <c r="R12" i="10"/>
  <c r="C18" i="10"/>
  <c r="F18" i="10" s="1"/>
  <c r="R18" i="10"/>
  <c r="C12" i="10"/>
  <c r="F12" i="10" s="1"/>
  <c r="C28" i="10"/>
  <c r="F28" i="10" s="1"/>
  <c r="C30" i="10"/>
  <c r="F30" i="10" s="1"/>
  <c r="E58" i="10"/>
  <c r="C9" i="10"/>
  <c r="E9" i="10" s="1"/>
  <c r="R11" i="10"/>
  <c r="P70" i="10" s="1"/>
  <c r="P32" i="10"/>
  <c r="R29" i="10"/>
  <c r="P69" i="10" s="1"/>
  <c r="C31" i="10"/>
  <c r="F31" i="10" s="1"/>
  <c r="L64" i="10"/>
  <c r="Q13" i="10"/>
  <c r="C10" i="10"/>
  <c r="F10" i="10" s="1"/>
  <c r="I64" i="10"/>
  <c r="C29" i="10"/>
  <c r="F60" i="10"/>
  <c r="R9" i="10"/>
  <c r="P68" i="10" s="1"/>
  <c r="J64" i="10"/>
  <c r="J65" i="10" s="1"/>
  <c r="N64" i="10"/>
  <c r="E21" i="10"/>
  <c r="R41" i="10"/>
  <c r="E40" i="10"/>
  <c r="E59" i="10"/>
  <c r="D64" i="10"/>
  <c r="D65" i="10" s="1"/>
  <c r="M64" i="10"/>
  <c r="M65" i="10" s="1"/>
  <c r="R22" i="10"/>
  <c r="C27" i="10"/>
  <c r="C53" i="10"/>
  <c r="C62" i="10"/>
  <c r="F62" i="10" s="1"/>
  <c r="F29" i="10"/>
  <c r="E29" i="10"/>
  <c r="E30" i="10"/>
  <c r="C8" i="10"/>
  <c r="R8" i="10"/>
  <c r="E11" i="10"/>
  <c r="R27" i="10"/>
  <c r="E48" i="10"/>
  <c r="E49" i="10"/>
  <c r="E50" i="10"/>
  <c r="E51" i="10"/>
  <c r="E52" i="10"/>
  <c r="E61" i="10"/>
  <c r="F48" i="10"/>
  <c r="F53" i="10" l="1"/>
  <c r="S53" i="10"/>
  <c r="R32" i="10"/>
  <c r="E37" i="10"/>
  <c r="E20" i="10"/>
  <c r="E28" i="10"/>
  <c r="C41" i="10"/>
  <c r="F41" i="10" s="1"/>
  <c r="F9" i="10"/>
  <c r="E19" i="10"/>
  <c r="P71" i="10"/>
  <c r="S12" i="10"/>
  <c r="L65" i="10"/>
  <c r="H65" i="10"/>
  <c r="P67" i="10"/>
  <c r="P72" i="10" s="1"/>
  <c r="E31" i="10"/>
  <c r="E62" i="10"/>
  <c r="C63" i="10"/>
  <c r="E53" i="10"/>
  <c r="E39" i="10"/>
  <c r="E41" i="10" s="1"/>
  <c r="F39" i="10"/>
  <c r="C32" i="10"/>
  <c r="F32" i="10" s="1"/>
  <c r="F27" i="10"/>
  <c r="E18" i="10"/>
  <c r="C22" i="10"/>
  <c r="E12" i="10"/>
  <c r="E10" i="10"/>
  <c r="I65" i="10"/>
  <c r="K65" i="10"/>
  <c r="E27" i="10"/>
  <c r="E32" i="10"/>
  <c r="F8" i="10"/>
  <c r="C13" i="10"/>
  <c r="E8" i="10"/>
  <c r="R13" i="10"/>
  <c r="C42" i="10" l="1"/>
  <c r="C64" i="10"/>
  <c r="C65" i="10" s="1"/>
  <c r="F22" i="10"/>
  <c r="C23" i="10"/>
  <c r="E22" i="10"/>
  <c r="F13" i="10"/>
  <c r="E13" i="10"/>
  <c r="L70" i="8" l="1"/>
  <c r="M70" i="8" s="1"/>
  <c r="L68" i="8"/>
  <c r="M68" i="8" s="1"/>
  <c r="L69" i="8"/>
  <c r="M69" i="8" s="1"/>
  <c r="L67" i="8"/>
  <c r="M67" i="8" s="1"/>
  <c r="K59" i="8" l="1"/>
  <c r="K60" i="8"/>
  <c r="K61" i="8"/>
  <c r="K58" i="8"/>
  <c r="K52" i="8"/>
  <c r="K49" i="8"/>
  <c r="K50" i="8"/>
  <c r="K51" i="8"/>
  <c r="K48" i="8"/>
  <c r="K37" i="8"/>
  <c r="W41" i="8"/>
  <c r="Y33" i="8"/>
  <c r="X30" i="8"/>
  <c r="K40" i="8"/>
  <c r="K39" i="8"/>
  <c r="K38" i="8"/>
  <c r="K21" i="8"/>
  <c r="K20" i="8"/>
  <c r="K19" i="8"/>
  <c r="K18" i="8"/>
  <c r="W9" i="8"/>
  <c r="W11" i="8"/>
  <c r="W8" i="8"/>
  <c r="P62" i="8"/>
  <c r="P57" i="8"/>
  <c r="P53" i="8"/>
  <c r="P41" i="8"/>
  <c r="P36" i="8"/>
  <c r="P32" i="8"/>
  <c r="P26" i="8"/>
  <c r="P22" i="8"/>
  <c r="P17" i="8"/>
  <c r="P13" i="8"/>
  <c r="L11" i="9"/>
  <c r="Y42" i="8" s="1"/>
  <c r="K11" i="9"/>
  <c r="G11" i="9"/>
  <c r="D23" i="10" s="1"/>
  <c r="E23" i="10" s="1"/>
  <c r="F11" i="9"/>
  <c r="D11" i="9"/>
  <c r="G13" i="9" s="1"/>
  <c r="C11" i="9"/>
  <c r="M10" i="9"/>
  <c r="N10" i="9" s="1"/>
  <c r="H10" i="9"/>
  <c r="I10" i="9" s="1"/>
  <c r="X11" i="8" s="1"/>
  <c r="M9" i="9"/>
  <c r="W29" i="8" s="1"/>
  <c r="H9" i="9"/>
  <c r="I9" i="9" s="1"/>
  <c r="X10" i="8" s="1"/>
  <c r="N8" i="9"/>
  <c r="X28" i="8" s="1"/>
  <c r="M8" i="9"/>
  <c r="W28" i="8" s="1"/>
  <c r="H8" i="9"/>
  <c r="I8" i="9" s="1"/>
  <c r="X9" i="8" s="1"/>
  <c r="N7" i="9"/>
  <c r="X27" i="8" s="1"/>
  <c r="M7" i="9"/>
  <c r="W27" i="8" s="1"/>
  <c r="H7" i="9"/>
  <c r="K11" i="8" l="1"/>
  <c r="K9" i="8"/>
  <c r="K28" i="8"/>
  <c r="N9" i="9"/>
  <c r="X29" i="8" s="1"/>
  <c r="X32" i="8" s="1"/>
  <c r="W30" i="8"/>
  <c r="K30" i="8" s="1"/>
  <c r="M11" i="9"/>
  <c r="W31" i="8" s="1"/>
  <c r="Y14" i="8"/>
  <c r="Y23" i="8"/>
  <c r="K62" i="8"/>
  <c r="R33" i="10"/>
  <c r="R42" i="10"/>
  <c r="D42" i="10"/>
  <c r="N11" i="9"/>
  <c r="X31" i="8" s="1"/>
  <c r="K31" i="8" s="1"/>
  <c r="W10" i="8"/>
  <c r="K10" i="8" s="1"/>
  <c r="L23" i="8"/>
  <c r="H11" i="9"/>
  <c r="W12" i="8" s="1"/>
  <c r="L42" i="8"/>
  <c r="P64" i="8"/>
  <c r="X41" i="8"/>
  <c r="K27" i="8"/>
  <c r="X22" i="8"/>
  <c r="I7" i="9"/>
  <c r="I11" i="9" l="1"/>
  <c r="X12" i="8" s="1"/>
  <c r="K12" i="8" s="1"/>
  <c r="X8" i="8"/>
  <c r="K8" i="8" s="1"/>
  <c r="K29" i="8"/>
  <c r="W32" i="8"/>
  <c r="T62" i="8"/>
  <c r="S62" i="8"/>
  <c r="R62" i="8"/>
  <c r="Q62" i="8"/>
  <c r="L62" i="8"/>
  <c r="E62" i="8"/>
  <c r="M61" i="8"/>
  <c r="N60" i="8"/>
  <c r="N59" i="8"/>
  <c r="S57" i="8"/>
  <c r="Q57" i="8"/>
  <c r="L57" i="8"/>
  <c r="K57" i="8"/>
  <c r="D56" i="8"/>
  <c r="T53" i="8"/>
  <c r="S53" i="8"/>
  <c r="R53" i="8"/>
  <c r="Q53" i="8"/>
  <c r="L53" i="8"/>
  <c r="M52" i="8"/>
  <c r="E52" i="8"/>
  <c r="M51" i="8"/>
  <c r="N51" i="8"/>
  <c r="E51" i="8"/>
  <c r="E50" i="8"/>
  <c r="N49" i="8"/>
  <c r="E49" i="8"/>
  <c r="E48" i="8"/>
  <c r="D46" i="8"/>
  <c r="U41" i="8"/>
  <c r="T41" i="8"/>
  <c r="S41" i="8"/>
  <c r="R41" i="8"/>
  <c r="Q41" i="8"/>
  <c r="L41" i="8"/>
  <c r="E41" i="8"/>
  <c r="F41" i="8" s="1"/>
  <c r="N39" i="8"/>
  <c r="M38" i="8"/>
  <c r="N37" i="8"/>
  <c r="M37" i="8"/>
  <c r="L36" i="8"/>
  <c r="D35" i="8"/>
  <c r="U32" i="8"/>
  <c r="T32" i="8"/>
  <c r="S32" i="8"/>
  <c r="R32" i="8"/>
  <c r="Q32" i="8"/>
  <c r="L32" i="8"/>
  <c r="N31" i="8"/>
  <c r="E31" i="8"/>
  <c r="M30" i="8"/>
  <c r="E30" i="8"/>
  <c r="Y29" i="8"/>
  <c r="E29" i="8"/>
  <c r="Y28" i="8"/>
  <c r="E28" i="8"/>
  <c r="N27" i="8"/>
  <c r="E27" i="8"/>
  <c r="X26" i="8"/>
  <c r="X36" i="8" s="1"/>
  <c r="W26" i="8"/>
  <c r="W36" i="8" s="1"/>
  <c r="L26" i="8"/>
  <c r="D25" i="8"/>
  <c r="U22" i="8"/>
  <c r="T22" i="8"/>
  <c r="S22" i="8"/>
  <c r="R22" i="8"/>
  <c r="Q22" i="8"/>
  <c r="L22" i="8"/>
  <c r="N21" i="8"/>
  <c r="N20" i="8"/>
  <c r="N19" i="8"/>
  <c r="N18" i="8"/>
  <c r="E18" i="8"/>
  <c r="E22" i="8" s="1"/>
  <c r="X17" i="8"/>
  <c r="W17" i="8"/>
  <c r="L17" i="8"/>
  <c r="K16" i="8"/>
  <c r="D16" i="8"/>
  <c r="U13" i="8"/>
  <c r="T13" i="8"/>
  <c r="S13" i="8"/>
  <c r="R13" i="8"/>
  <c r="Q13" i="8"/>
  <c r="L13" i="8"/>
  <c r="E11" i="8"/>
  <c r="E10" i="8"/>
  <c r="E9" i="8"/>
  <c r="E8" i="8"/>
  <c r="D6" i="8"/>
  <c r="A6" i="8"/>
  <c r="T1" i="8"/>
  <c r="E53" i="8" l="1"/>
  <c r="E32" i="8"/>
  <c r="S64" i="8"/>
  <c r="S65" i="8" s="1"/>
  <c r="T64" i="8"/>
  <c r="T65" i="8" s="1"/>
  <c r="U64" i="8"/>
  <c r="R64" i="8"/>
  <c r="R65" i="8" s="1"/>
  <c r="F37" i="8"/>
  <c r="Q64" i="8"/>
  <c r="P65" i="8" s="1"/>
  <c r="F39" i="8"/>
  <c r="F38" i="8"/>
  <c r="F20" i="8"/>
  <c r="F21" i="8"/>
  <c r="F19" i="8"/>
  <c r="F18" i="8"/>
  <c r="M29" i="8"/>
  <c r="N30" i="8"/>
  <c r="K53" i="8"/>
  <c r="K63" i="8" s="1"/>
  <c r="M49" i="8"/>
  <c r="N52" i="8"/>
  <c r="M58" i="8"/>
  <c r="M60" i="8"/>
  <c r="N29" i="8"/>
  <c r="Y30" i="8"/>
  <c r="M39" i="8"/>
  <c r="N48" i="8"/>
  <c r="N58" i="8"/>
  <c r="N38" i="8"/>
  <c r="N61" i="8"/>
  <c r="F29" i="8"/>
  <c r="F30" i="8"/>
  <c r="F32" i="8"/>
  <c r="E42" i="8"/>
  <c r="F31" i="8"/>
  <c r="F27" i="8"/>
  <c r="M62" i="8"/>
  <c r="N62" i="8"/>
  <c r="E63" i="8"/>
  <c r="F28" i="8"/>
  <c r="L64" i="8"/>
  <c r="L65" i="8" s="1"/>
  <c r="F22" i="8"/>
  <c r="Y27" i="8"/>
  <c r="M28" i="8"/>
  <c r="Y31" i="8"/>
  <c r="M40" i="8"/>
  <c r="M50" i="8"/>
  <c r="M59" i="8"/>
  <c r="M18" i="8"/>
  <c r="M19" i="8"/>
  <c r="M20" i="8"/>
  <c r="M21" i="8"/>
  <c r="K22" i="8"/>
  <c r="M27" i="8"/>
  <c r="N28" i="8"/>
  <c r="M31" i="8"/>
  <c r="N40" i="8"/>
  <c r="N50" i="8"/>
  <c r="K32" i="8"/>
  <c r="K41" i="8"/>
  <c r="F40" i="8"/>
  <c r="M48" i="8"/>
  <c r="Q65" i="8" l="1"/>
  <c r="M41" i="8"/>
  <c r="K42" i="8"/>
  <c r="N53" i="8"/>
  <c r="M53" i="8"/>
  <c r="Y32" i="8"/>
  <c r="Y20" i="8"/>
  <c r="Y40" i="8"/>
  <c r="N32" i="8"/>
  <c r="M32" i="8"/>
  <c r="N41" i="8"/>
  <c r="N22" i="8"/>
  <c r="M22" i="8"/>
  <c r="Y19" i="8" l="1"/>
  <c r="Y37" i="8"/>
  <c r="Y39" i="8"/>
  <c r="W22" i="8"/>
  <c r="Y21" i="8"/>
  <c r="Y38" i="8"/>
  <c r="Y41" i="8" l="1"/>
  <c r="Y18" i="8"/>
  <c r="Y22" i="8" l="1"/>
  <c r="N37" i="6" l="1"/>
  <c r="N31" i="6"/>
  <c r="M35" i="6"/>
  <c r="M25" i="6"/>
  <c r="N41" i="6"/>
  <c r="N42" i="6" s="1"/>
  <c r="N32" i="6"/>
  <c r="N33" i="6" s="1"/>
  <c r="N18" i="6"/>
  <c r="N22" i="6" s="1"/>
  <c r="N23" i="6" s="1"/>
  <c r="M15" i="6"/>
  <c r="N12" i="6" l="1"/>
  <c r="N13" i="6"/>
  <c r="N14" i="6" s="1"/>
  <c r="M11" i="6"/>
  <c r="O11" i="6" s="1"/>
  <c r="M4" i="6"/>
  <c r="L62" i="6"/>
  <c r="E62" i="6"/>
  <c r="K61" i="6"/>
  <c r="K60" i="6"/>
  <c r="K59" i="6"/>
  <c r="K58" i="6"/>
  <c r="L57" i="6"/>
  <c r="K57" i="6"/>
  <c r="D56" i="6"/>
  <c r="L53" i="6"/>
  <c r="E52" i="6"/>
  <c r="K51" i="6"/>
  <c r="E51" i="6"/>
  <c r="K50" i="6"/>
  <c r="E50" i="6"/>
  <c r="K49" i="6"/>
  <c r="E49" i="6"/>
  <c r="K48" i="6"/>
  <c r="E48" i="6"/>
  <c r="D46" i="6"/>
  <c r="Q41" i="6"/>
  <c r="L41" i="6"/>
  <c r="E41" i="6"/>
  <c r="F39" i="6" s="1"/>
  <c r="S40" i="6"/>
  <c r="K40" i="6"/>
  <c r="S39" i="6"/>
  <c r="K39" i="6"/>
  <c r="S38" i="6"/>
  <c r="P38" i="6"/>
  <c r="R38" i="6" s="1"/>
  <c r="K38" i="6"/>
  <c r="F38" i="6"/>
  <c r="S37" i="6"/>
  <c r="K37" i="6"/>
  <c r="K41" i="6" s="1"/>
  <c r="S36" i="6"/>
  <c r="P36" i="6"/>
  <c r="L36" i="6"/>
  <c r="K35" i="6"/>
  <c r="D35" i="6"/>
  <c r="Q32" i="6"/>
  <c r="L32" i="6"/>
  <c r="E31" i="6"/>
  <c r="K30" i="6"/>
  <c r="E30" i="6"/>
  <c r="K29" i="6"/>
  <c r="E29" i="6"/>
  <c r="K28" i="6"/>
  <c r="E28" i="6"/>
  <c r="K27" i="6"/>
  <c r="E27" i="6"/>
  <c r="S26" i="6"/>
  <c r="Q26" i="6"/>
  <c r="P26" i="6"/>
  <c r="L26" i="6"/>
  <c r="K25" i="6"/>
  <c r="D25" i="6"/>
  <c r="Q22" i="6"/>
  <c r="L22" i="6"/>
  <c r="S21" i="6"/>
  <c r="K21" i="6"/>
  <c r="S20" i="6"/>
  <c r="K20" i="6"/>
  <c r="S19" i="6"/>
  <c r="K19" i="6"/>
  <c r="K18" i="6"/>
  <c r="E18" i="6"/>
  <c r="E22" i="6" s="1"/>
  <c r="S17" i="6"/>
  <c r="Q17" i="6"/>
  <c r="Q36" i="6" s="1"/>
  <c r="P17" i="6"/>
  <c r="L17" i="6"/>
  <c r="K16" i="6"/>
  <c r="D16" i="6"/>
  <c r="Q13" i="6"/>
  <c r="L13" i="6"/>
  <c r="M12" i="6" s="1"/>
  <c r="O12" i="6" s="1"/>
  <c r="S11" i="6"/>
  <c r="K11" i="6"/>
  <c r="E11" i="6"/>
  <c r="K10" i="6"/>
  <c r="E10" i="6"/>
  <c r="S10" i="6" s="1"/>
  <c r="K9" i="6"/>
  <c r="E9" i="6"/>
  <c r="S9" i="6" s="1"/>
  <c r="K8" i="6"/>
  <c r="E8" i="6"/>
  <c r="K6" i="6"/>
  <c r="D6" i="6"/>
  <c r="A6" i="6"/>
  <c r="N1" i="6"/>
  <c r="M10" i="6" l="1"/>
  <c r="O10" i="6" s="1"/>
  <c r="E53" i="6"/>
  <c r="M8" i="6"/>
  <c r="L64" i="6"/>
  <c r="M19" i="6"/>
  <c r="O19" i="6" s="1"/>
  <c r="M18" i="6"/>
  <c r="M21" i="6"/>
  <c r="O21" i="6" s="1"/>
  <c r="M20" i="6"/>
  <c r="O20" i="6" s="1"/>
  <c r="L63" i="6"/>
  <c r="M49" i="6"/>
  <c r="M48" i="6"/>
  <c r="M52" i="6"/>
  <c r="M51" i="6"/>
  <c r="M50" i="6"/>
  <c r="K22" i="6"/>
  <c r="M28" i="6"/>
  <c r="O28" i="6" s="1"/>
  <c r="M29" i="6"/>
  <c r="O29" i="6" s="1"/>
  <c r="M27" i="6"/>
  <c r="M30" i="6"/>
  <c r="O30" i="6" s="1"/>
  <c r="M31" i="6"/>
  <c r="O31" i="6" s="1"/>
  <c r="M61" i="6"/>
  <c r="M60" i="6"/>
  <c r="M59" i="6"/>
  <c r="M58" i="6"/>
  <c r="S41" i="6"/>
  <c r="M37" i="6"/>
  <c r="M38" i="6"/>
  <c r="O38" i="6" s="1"/>
  <c r="M39" i="6"/>
  <c r="O39" i="6" s="1"/>
  <c r="M40" i="6"/>
  <c r="O40" i="6" s="1"/>
  <c r="M9" i="6"/>
  <c r="O9" i="6" s="1"/>
  <c r="S8" i="6"/>
  <c r="P40" i="6"/>
  <c r="R40" i="6" s="1"/>
  <c r="P27" i="6"/>
  <c r="P28" i="6"/>
  <c r="R28" i="6" s="1"/>
  <c r="P29" i="6"/>
  <c r="R29" i="6" s="1"/>
  <c r="P30" i="6"/>
  <c r="R30" i="6" s="1"/>
  <c r="P37" i="6"/>
  <c r="R37" i="6" s="1"/>
  <c r="F40" i="6"/>
  <c r="F37" i="6"/>
  <c r="K62" i="6"/>
  <c r="P41" i="6"/>
  <c r="F21" i="6"/>
  <c r="F20" i="6"/>
  <c r="F19" i="6"/>
  <c r="F18" i="6"/>
  <c r="F22" i="6"/>
  <c r="E63" i="6"/>
  <c r="R27" i="6"/>
  <c r="P18" i="6"/>
  <c r="P8" i="6"/>
  <c r="P9" i="6"/>
  <c r="R9" i="6" s="1"/>
  <c r="P10" i="6"/>
  <c r="R10" i="6" s="1"/>
  <c r="P11" i="6"/>
  <c r="R11" i="6" s="1"/>
  <c r="S18" i="6"/>
  <c r="S22" i="6" s="1"/>
  <c r="F41" i="6"/>
  <c r="P20" i="6"/>
  <c r="R20" i="6" s="1"/>
  <c r="E32" i="6"/>
  <c r="F28" i="6" s="1"/>
  <c r="S27" i="6"/>
  <c r="S28" i="6"/>
  <c r="S29" i="6"/>
  <c r="S30" i="6"/>
  <c r="S31" i="6"/>
  <c r="P39" i="6"/>
  <c r="R39" i="6" s="1"/>
  <c r="R41" i="6" s="1"/>
  <c r="P19" i="6"/>
  <c r="R19" i="6" s="1"/>
  <c r="P21" i="6"/>
  <c r="R21" i="6" s="1"/>
  <c r="L21" i="4"/>
  <c r="M21" i="4" s="1"/>
  <c r="L20" i="4"/>
  <c r="M20" i="4" s="1"/>
  <c r="L19" i="4"/>
  <c r="M19" i="4" s="1"/>
  <c r="L18" i="4"/>
  <c r="G21" i="4"/>
  <c r="H21" i="4" s="1"/>
  <c r="G20" i="4"/>
  <c r="G19" i="4"/>
  <c r="H19" i="4" s="1"/>
  <c r="G18" i="4"/>
  <c r="H18" i="4" s="1"/>
  <c r="H20" i="4"/>
  <c r="K22" i="4"/>
  <c r="J22" i="4"/>
  <c r="F22" i="4"/>
  <c r="G22" i="4" s="1"/>
  <c r="E22" i="4"/>
  <c r="C22" i="4"/>
  <c r="B22" i="4"/>
  <c r="D9" i="4"/>
  <c r="E9" i="4"/>
  <c r="F9" i="4"/>
  <c r="G9" i="4"/>
  <c r="I9" i="4"/>
  <c r="J9" i="4"/>
  <c r="K9" i="4"/>
  <c r="L9" i="4"/>
  <c r="K52" i="6" s="1"/>
  <c r="K53" i="6" s="1"/>
  <c r="K63" i="6" s="1"/>
  <c r="N9" i="4"/>
  <c r="O9" i="4"/>
  <c r="P9" i="4"/>
  <c r="Q9" i="4"/>
  <c r="K31" i="6" s="1"/>
  <c r="K32" i="6" s="1"/>
  <c r="K42" i="6" s="1"/>
  <c r="E12" i="8" l="1"/>
  <c r="K12" i="6"/>
  <c r="E12" i="6"/>
  <c r="O18" i="6"/>
  <c r="O22" i="6" s="1"/>
  <c r="O23" i="6" s="1"/>
  <c r="M22" i="6"/>
  <c r="P31" i="6"/>
  <c r="R31" i="6" s="1"/>
  <c r="N52" i="6"/>
  <c r="M41" i="6"/>
  <c r="O37" i="6"/>
  <c r="O41" i="6" s="1"/>
  <c r="O42" i="6" s="1"/>
  <c r="M53" i="6"/>
  <c r="O27" i="6"/>
  <c r="M32" i="6"/>
  <c r="O8" i="6"/>
  <c r="O13" i="6" s="1"/>
  <c r="O14" i="6" s="1"/>
  <c r="M13" i="6"/>
  <c r="L22" i="4"/>
  <c r="M62" i="6"/>
  <c r="O32" i="6"/>
  <c r="O33" i="6" s="1"/>
  <c r="F30" i="6"/>
  <c r="S32" i="6"/>
  <c r="F32" i="6"/>
  <c r="E42" i="6"/>
  <c r="P42" i="6" s="1"/>
  <c r="R8" i="6"/>
  <c r="F29" i="6"/>
  <c r="F31" i="6"/>
  <c r="F27" i="6"/>
  <c r="R18" i="6"/>
  <c r="R22" i="6" s="1"/>
  <c r="P22" i="6"/>
  <c r="H22" i="4"/>
  <c r="M18" i="4"/>
  <c r="M22" i="4" s="1"/>
  <c r="P32" i="6" l="1"/>
  <c r="R32" i="6" s="1"/>
  <c r="S12" i="6"/>
  <c r="S13" i="6" s="1"/>
  <c r="E13" i="6"/>
  <c r="M64" i="6"/>
  <c r="K13" i="6"/>
  <c r="P12" i="6"/>
  <c r="E13" i="8"/>
  <c r="Q19" i="5"/>
  <c r="P19" i="5"/>
  <c r="O19" i="5"/>
  <c r="N19" i="5"/>
  <c r="L19" i="5"/>
  <c r="K19" i="5"/>
  <c r="J19" i="5"/>
  <c r="I19" i="5"/>
  <c r="G19" i="5"/>
  <c r="F19" i="5"/>
  <c r="E19" i="5"/>
  <c r="D19" i="5"/>
  <c r="Q9" i="5"/>
  <c r="P9" i="5"/>
  <c r="O9" i="5"/>
  <c r="N9" i="5"/>
  <c r="L9" i="5"/>
  <c r="K9" i="5"/>
  <c r="J9" i="5"/>
  <c r="I9" i="5"/>
  <c r="G9" i="5"/>
  <c r="F9" i="5"/>
  <c r="E9" i="5"/>
  <c r="D9" i="5"/>
  <c r="F13" i="8" l="1"/>
  <c r="F9" i="8"/>
  <c r="E23" i="8"/>
  <c r="F8" i="8"/>
  <c r="F11" i="8"/>
  <c r="F10" i="8"/>
  <c r="K23" i="6"/>
  <c r="P23" i="6" s="1"/>
  <c r="K64" i="6"/>
  <c r="F13" i="6"/>
  <c r="E23" i="6"/>
  <c r="F8" i="6"/>
  <c r="F9" i="6"/>
  <c r="F11" i="6"/>
  <c r="F10" i="6"/>
  <c r="F12" i="6"/>
  <c r="R12" i="6"/>
  <c r="P13" i="6"/>
  <c r="R13" i="6" s="1"/>
  <c r="F12" i="8"/>
  <c r="K61" i="3"/>
  <c r="K60" i="3"/>
  <c r="K59" i="3"/>
  <c r="K58" i="3"/>
  <c r="K62" i="3" s="1"/>
  <c r="K52" i="3"/>
  <c r="Y52" i="3" s="1"/>
  <c r="K51" i="3"/>
  <c r="K50" i="3"/>
  <c r="K49" i="3"/>
  <c r="K48" i="3"/>
  <c r="K40" i="3"/>
  <c r="K39" i="3"/>
  <c r="K38" i="3"/>
  <c r="K37" i="3"/>
  <c r="K35" i="3"/>
  <c r="K31" i="3"/>
  <c r="W31" i="3" s="1"/>
  <c r="X31" i="3" s="1"/>
  <c r="K30" i="3"/>
  <c r="W30" i="3" s="1"/>
  <c r="X30" i="3" s="1"/>
  <c r="K29" i="3"/>
  <c r="W29" i="3" s="1"/>
  <c r="X29" i="3" s="1"/>
  <c r="K28" i="3"/>
  <c r="W28" i="3" s="1"/>
  <c r="X28" i="3" s="1"/>
  <c r="K27" i="3"/>
  <c r="W27" i="3" s="1"/>
  <c r="X27" i="3" s="1"/>
  <c r="X32" i="3" s="1"/>
  <c r="K25" i="3"/>
  <c r="K21" i="3"/>
  <c r="K20" i="3"/>
  <c r="K19" i="3"/>
  <c r="K18" i="3"/>
  <c r="K16" i="3"/>
  <c r="K6" i="3"/>
  <c r="K12" i="3"/>
  <c r="W12" i="3" s="1"/>
  <c r="X12" i="3" s="1"/>
  <c r="K11" i="3"/>
  <c r="K10" i="3"/>
  <c r="K9" i="3"/>
  <c r="K8" i="3"/>
  <c r="E18" i="3"/>
  <c r="E12" i="3"/>
  <c r="E11" i="3"/>
  <c r="E10" i="3"/>
  <c r="E9" i="3"/>
  <c r="E8" i="3"/>
  <c r="W33" i="3" l="1"/>
  <c r="W32" i="3"/>
  <c r="L36" i="3"/>
  <c r="L26" i="3"/>
  <c r="L17" i="3"/>
  <c r="L13" i="3"/>
  <c r="L22" i="3"/>
  <c r="L32" i="3"/>
  <c r="L41" i="3"/>
  <c r="L53" i="3"/>
  <c r="L57" i="3"/>
  <c r="L62" i="3"/>
  <c r="L63" i="3" l="1"/>
  <c r="L64" i="3"/>
  <c r="E52" i="3" l="1"/>
  <c r="E31" i="3"/>
  <c r="K53" i="3" l="1"/>
  <c r="N58" i="3"/>
  <c r="K57" i="3"/>
  <c r="E51" i="3"/>
  <c r="E50" i="3"/>
  <c r="E49" i="3"/>
  <c r="E48" i="3"/>
  <c r="E30" i="3"/>
  <c r="E29" i="3"/>
  <c r="E28" i="3"/>
  <c r="E27" i="3"/>
  <c r="P62" i="3"/>
  <c r="P57" i="3"/>
  <c r="P53" i="3"/>
  <c r="M58" i="3" l="1"/>
  <c r="K63" i="3"/>
  <c r="P63" i="3"/>
  <c r="V36" i="3" l="1"/>
  <c r="W26" i="3"/>
  <c r="V26" i="3"/>
  <c r="W17" i="3"/>
  <c r="W36" i="3" s="1"/>
  <c r="V17" i="3"/>
  <c r="Q62" i="3"/>
  <c r="Q53" i="3"/>
  <c r="Q63" i="3" s="1"/>
  <c r="Q32" i="3"/>
  <c r="Q22" i="3"/>
  <c r="Q13" i="3"/>
  <c r="Q41" i="3"/>
  <c r="Q23" i="3" l="1"/>
  <c r="Q64" i="3"/>
  <c r="Q42" i="3"/>
  <c r="P41" i="3" l="1"/>
  <c r="P32" i="3"/>
  <c r="P22" i="3"/>
  <c r="P13" i="3"/>
  <c r="P64" i="3" l="1"/>
  <c r="L65" i="3" l="1"/>
  <c r="P65" i="3"/>
  <c r="E13" i="3" l="1"/>
  <c r="R62" i="3"/>
  <c r="R57" i="3"/>
  <c r="R53" i="3"/>
  <c r="R41" i="3"/>
  <c r="R32" i="3"/>
  <c r="R22" i="3"/>
  <c r="R13" i="3"/>
  <c r="S1" i="3"/>
  <c r="R64" i="3" l="1"/>
  <c r="Q65" i="3" s="1"/>
  <c r="S62" i="3" l="1"/>
  <c r="S53" i="3"/>
  <c r="S41" i="3"/>
  <c r="S32" i="3"/>
  <c r="S22" i="3"/>
  <c r="S13" i="3"/>
  <c r="S64" i="3" l="1"/>
  <c r="D56" i="3"/>
  <c r="D46" i="3"/>
  <c r="T41" i="3"/>
  <c r="T32" i="3"/>
  <c r="T22" i="3"/>
  <c r="T13" i="3"/>
  <c r="D6" i="3"/>
  <c r="D35" i="3"/>
  <c r="D25" i="3"/>
  <c r="D16" i="3"/>
  <c r="A6" i="3"/>
  <c r="R65" i="3" l="1"/>
  <c r="M49" i="3"/>
  <c r="N50" i="3"/>
  <c r="N51" i="3"/>
  <c r="T64" i="3"/>
  <c r="S65" i="3" s="1"/>
  <c r="F13" i="3"/>
  <c r="E32" i="3"/>
  <c r="F32" i="3" s="1"/>
  <c r="E41" i="3"/>
  <c r="M48" i="3"/>
  <c r="E62" i="3"/>
  <c r="E22" i="3"/>
  <c r="N49" i="3"/>
  <c r="M51" i="3"/>
  <c r="N59" i="3"/>
  <c r="M59" i="3"/>
  <c r="N60" i="3"/>
  <c r="M60" i="3"/>
  <c r="N61" i="3"/>
  <c r="M61" i="3"/>
  <c r="F22" i="3" l="1"/>
  <c r="E23" i="3"/>
  <c r="F41" i="3"/>
  <c r="E42" i="3"/>
  <c r="M50" i="3"/>
  <c r="N52" i="3"/>
  <c r="F39" i="3"/>
  <c r="M39" i="3" s="1"/>
  <c r="F37" i="3"/>
  <c r="E53" i="3"/>
  <c r="E63" i="3" s="1"/>
  <c r="F38" i="3"/>
  <c r="M38" i="3" s="1"/>
  <c r="F40" i="3"/>
  <c r="F11" i="3"/>
  <c r="F10" i="3"/>
  <c r="F31" i="3"/>
  <c r="M31" i="3" s="1"/>
  <c r="F9" i="3"/>
  <c r="N62" i="3"/>
  <c r="F8" i="3"/>
  <c r="F29" i="3"/>
  <c r="N29" i="3" s="1"/>
  <c r="F28" i="3"/>
  <c r="F30" i="3"/>
  <c r="F20" i="3"/>
  <c r="N48" i="3"/>
  <c r="F21" i="3"/>
  <c r="F18" i="3"/>
  <c r="F19" i="3"/>
  <c r="F12" i="3"/>
  <c r="F27" i="3"/>
  <c r="O18" i="3" l="1"/>
  <c r="V11" i="3"/>
  <c r="O21" i="3"/>
  <c r="V9" i="3"/>
  <c r="O19" i="3"/>
  <c r="V10" i="3"/>
  <c r="O20" i="3"/>
  <c r="N37" i="3"/>
  <c r="M52" i="3"/>
  <c r="M37" i="3"/>
  <c r="M11" i="3"/>
  <c r="N39" i="3"/>
  <c r="N40" i="3"/>
  <c r="N27" i="3"/>
  <c r="N11" i="3"/>
  <c r="N30" i="3"/>
  <c r="N8" i="3"/>
  <c r="V8" i="3"/>
  <c r="K41" i="3"/>
  <c r="N38" i="3"/>
  <c r="M62" i="3"/>
  <c r="M8" i="3"/>
  <c r="M10" i="3"/>
  <c r="N9" i="3"/>
  <c r="M40" i="3"/>
  <c r="M30" i="3"/>
  <c r="M29" i="3"/>
  <c r="N31" i="3"/>
  <c r="N19" i="3"/>
  <c r="N21" i="3"/>
  <c r="N10" i="3"/>
  <c r="M9" i="3"/>
  <c r="M28" i="3"/>
  <c r="N28" i="3"/>
  <c r="K32" i="3"/>
  <c r="M20" i="3"/>
  <c r="N20" i="3"/>
  <c r="M12" i="3"/>
  <c r="N18" i="3"/>
  <c r="K22" i="3"/>
  <c r="M27" i="3"/>
  <c r="M21" i="3"/>
  <c r="M18" i="3"/>
  <c r="M19" i="3"/>
  <c r="M53" i="3"/>
  <c r="W8" i="3" l="1"/>
  <c r="X8" i="3" s="1"/>
  <c r="Y48" i="3" s="1"/>
  <c r="W9" i="3"/>
  <c r="X9" i="3" s="1"/>
  <c r="Y49" i="3" s="1"/>
  <c r="V38" i="3"/>
  <c r="V39" i="3"/>
  <c r="V40" i="3"/>
  <c r="V37" i="3"/>
  <c r="W10" i="3"/>
  <c r="X10" i="3" s="1"/>
  <c r="Y50" i="3" s="1"/>
  <c r="W11" i="3"/>
  <c r="W14" i="3" s="1"/>
  <c r="V18" i="3"/>
  <c r="V19" i="3"/>
  <c r="V20" i="3"/>
  <c r="V21" i="3"/>
  <c r="N12" i="3"/>
  <c r="K13" i="3"/>
  <c r="M41" i="3"/>
  <c r="N53" i="3"/>
  <c r="N41" i="3"/>
  <c r="V32" i="3"/>
  <c r="V13" i="3"/>
  <c r="K42" i="3"/>
  <c r="V42" i="3" s="1"/>
  <c r="M32" i="3"/>
  <c r="N32" i="3"/>
  <c r="N22" i="3"/>
  <c r="M22" i="3"/>
  <c r="W37" i="3" l="1"/>
  <c r="X37" i="3" s="1"/>
  <c r="X41" i="3" s="1"/>
  <c r="W40" i="3"/>
  <c r="X40" i="3"/>
  <c r="W39" i="3"/>
  <c r="X39" i="3"/>
  <c r="W38" i="3"/>
  <c r="W41" i="3" s="1"/>
  <c r="X38" i="3"/>
  <c r="X11" i="3"/>
  <c r="W20" i="3"/>
  <c r="X20" i="3" s="1"/>
  <c r="W19" i="3"/>
  <c r="X19" i="3" s="1"/>
  <c r="W21" i="3"/>
  <c r="X21" i="3" s="1"/>
  <c r="W18" i="3"/>
  <c r="X18" i="3" s="1"/>
  <c r="X22" i="3" s="1"/>
  <c r="V41" i="3"/>
  <c r="W13" i="3"/>
  <c r="V22" i="3"/>
  <c r="M13" i="3"/>
  <c r="K64" i="3"/>
  <c r="K65" i="3" s="1"/>
  <c r="K23" i="3"/>
  <c r="V23" i="3" s="1"/>
  <c r="N13" i="3"/>
  <c r="X13" i="3" l="1"/>
  <c r="Y53" i="3" s="1"/>
  <c r="Y51" i="3"/>
  <c r="W22" i="3"/>
  <c r="X13" i="8" l="1"/>
  <c r="W13" i="8"/>
  <c r="Y10" i="8"/>
  <c r="W69" i="8" s="1"/>
  <c r="M10" i="8"/>
  <c r="Y9" i="8"/>
  <c r="W68" i="8" s="1"/>
  <c r="Y8" i="8"/>
  <c r="W67" i="8" s="1"/>
  <c r="Y11" i="8"/>
  <c r="W70" i="8" s="1"/>
  <c r="M12" i="8"/>
  <c r="Y12" i="8"/>
  <c r="W71" i="8" s="1"/>
  <c r="N8" i="8"/>
  <c r="W72" i="8" l="1"/>
  <c r="Y13" i="8"/>
  <c r="M8" i="8"/>
  <c r="M9" i="8"/>
  <c r="N11" i="8"/>
  <c r="N12" i="8"/>
  <c r="N9" i="8"/>
  <c r="K13" i="8"/>
  <c r="M11" i="8"/>
  <c r="N10" i="8"/>
  <c r="K64" i="8" l="1"/>
  <c r="K65" i="8" s="1"/>
  <c r="K23" i="8"/>
  <c r="M23" i="8" s="1"/>
  <c r="N13" i="8"/>
  <c r="M13" i="8"/>
</calcChain>
</file>

<file path=xl/sharedStrings.xml><?xml version="1.0" encoding="utf-8"?>
<sst xmlns="http://schemas.openxmlformats.org/spreadsheetml/2006/main" count="1504" uniqueCount="253">
  <si>
    <t>Service Location</t>
  </si>
  <si>
    <t>Service Location Name</t>
  </si>
  <si>
    <t>County</t>
  </si>
  <si>
    <t>County Name</t>
  </si>
  <si>
    <t>Budget Amount</t>
  </si>
  <si>
    <t>LAW15</t>
  </si>
  <si>
    <t>Ohio Valley Employment</t>
  </si>
  <si>
    <t>Monroe</t>
  </si>
  <si>
    <t>Morgan</t>
  </si>
  <si>
    <t>Noble</t>
  </si>
  <si>
    <t>Washington</t>
  </si>
  <si>
    <t>OVER</t>
  </si>
  <si>
    <t>Budget Amount w/OVER</t>
  </si>
  <si>
    <t>ESTIMATED</t>
  </si>
  <si>
    <t>Adult and DW are both PY and FY with the FY only estimated at this point.</t>
  </si>
  <si>
    <t xml:space="preserve">Adult Adm </t>
  </si>
  <si>
    <t xml:space="preserve">Adult </t>
  </si>
  <si>
    <t xml:space="preserve">DW Adm </t>
  </si>
  <si>
    <t xml:space="preserve">DW </t>
  </si>
  <si>
    <t>Total(above) from State    by % to left</t>
  </si>
  <si>
    <t>PY14 Final</t>
  </si>
  <si>
    <t>PY12redist</t>
  </si>
  <si>
    <t>State Budget % of County to Total</t>
  </si>
  <si>
    <t>% Change</t>
  </si>
  <si>
    <t xml:space="preserve">$ Change </t>
  </si>
  <si>
    <t>Change</t>
  </si>
  <si>
    <t>total</t>
  </si>
  <si>
    <t xml:space="preserve">Youth Adm </t>
  </si>
  <si>
    <t>Youth Program</t>
  </si>
  <si>
    <t>Youth is only a PY allocation, no need to estimate for FY numbers not yet received.</t>
  </si>
  <si>
    <t>PY15 Final</t>
  </si>
  <si>
    <t>PY14 &amp; FY15 Actual</t>
  </si>
  <si>
    <t>% to prev. yr</t>
  </si>
  <si>
    <t>PY13 Final</t>
  </si>
  <si>
    <t>PY13 &amp; FY14 Actual</t>
  </si>
  <si>
    <t>PY12 &amp; FY13 Actual</t>
  </si>
  <si>
    <t>PY16 Final</t>
  </si>
  <si>
    <t>PY15 &amp; FY16 Actual</t>
  </si>
  <si>
    <t>PY16 &amp; FY17 Actual</t>
  </si>
  <si>
    <t>WIOA Area 15</t>
  </si>
  <si>
    <t>PY17 &amp; FY18 Actual</t>
  </si>
  <si>
    <t>FY18 Estimated</t>
  </si>
  <si>
    <t>FY18 Actual</t>
  </si>
  <si>
    <t>PY17 Final</t>
  </si>
  <si>
    <t>&lt;same&gt;</t>
  </si>
  <si>
    <t>Youth is PY only</t>
  </si>
  <si>
    <t>PY18 Final</t>
  </si>
  <si>
    <t>Estimated PY18&amp;FY19(7/1/18-6/30/20) to Previous Years</t>
  </si>
  <si>
    <t xml:space="preserve"> Estimated from State Against State Allocated last year based on PY% split for counties</t>
  </si>
  <si>
    <t>PY18</t>
  </si>
  <si>
    <t>PY18 &amp; FY19 estimate from State</t>
  </si>
  <si>
    <t>LAW16</t>
  </si>
  <si>
    <t>Jefferson</t>
  </si>
  <si>
    <t>Harrison</t>
  </si>
  <si>
    <t>Carroll</t>
  </si>
  <si>
    <t>Belmont</t>
  </si>
  <si>
    <t>Final Allocation</t>
  </si>
  <si>
    <t>Hold Harmless Adjustment</t>
  </si>
  <si>
    <t>Percent of Area Total</t>
  </si>
  <si>
    <t>Initial Allocation</t>
  </si>
  <si>
    <t>Area</t>
  </si>
  <si>
    <t>#</t>
  </si>
  <si>
    <t>Dislocated Worker</t>
  </si>
  <si>
    <t>Youth</t>
  </si>
  <si>
    <t>Adult</t>
  </si>
  <si>
    <t>Preliminary SFY19 Allocations by Area</t>
  </si>
  <si>
    <t>WIAO Area #16</t>
  </si>
  <si>
    <t>WIAO Area #15</t>
  </si>
  <si>
    <t>Adult Admin</t>
  </si>
  <si>
    <t>DW Admin</t>
  </si>
  <si>
    <t>Youth Admin</t>
  </si>
  <si>
    <t xml:space="preserve">Youth </t>
  </si>
  <si>
    <t xml:space="preserve"> </t>
  </si>
  <si>
    <t>Area Total</t>
  </si>
  <si>
    <t>Updated:  Sara Ballard 6/5 email</t>
  </si>
  <si>
    <t>Final SFY19 WIOA Allocations by Area</t>
  </si>
  <si>
    <t>Dis Wkr</t>
  </si>
  <si>
    <t>Percent of Area</t>
  </si>
  <si>
    <t>Amount</t>
  </si>
  <si>
    <t>SFY19 Total</t>
  </si>
  <si>
    <t>FY19</t>
  </si>
  <si>
    <t>PY17 &amp; FY18 Orignal</t>
  </si>
  <si>
    <t>Allocated based on Original</t>
  </si>
  <si>
    <t>PY17</t>
  </si>
  <si>
    <t>FY18</t>
  </si>
  <si>
    <t xml:space="preserve">Additional 7/1/17 to 6/30/18 given in CFIS May 2018                                                                          </t>
  </si>
  <si>
    <t>over share</t>
  </si>
  <si>
    <t>Total</t>
  </si>
  <si>
    <t>PY18 &amp; FY19 Final from State</t>
  </si>
  <si>
    <t>FY19 Actual</t>
  </si>
  <si>
    <t>WIOA Area #15</t>
  </si>
  <si>
    <t>Final SFY20 Allocations by Area</t>
  </si>
  <si>
    <t>PY19</t>
  </si>
  <si>
    <t>Percent</t>
  </si>
  <si>
    <t>SFY20 Total</t>
  </si>
  <si>
    <t>FY20</t>
  </si>
  <si>
    <t>Scott France email 5/29/19</t>
  </si>
  <si>
    <t>PY19 &amp; FY20 Final from State</t>
  </si>
  <si>
    <t>FY20 Actual</t>
  </si>
  <si>
    <t>PY18 &amp; FY19 Actual</t>
  </si>
  <si>
    <t>PY19 Final</t>
  </si>
  <si>
    <t>Total to Prior Year</t>
  </si>
  <si>
    <t>Total by PY (July 1) &amp; FY (Oct 1)</t>
  </si>
  <si>
    <t>Prior 2 Years</t>
  </si>
  <si>
    <t>*made miscalc in disb PY19, corrected diff in FY20</t>
  </si>
  <si>
    <t>Total correct.</t>
  </si>
  <si>
    <t>Total program</t>
  </si>
  <si>
    <t>Less MOU for Att A MOU</t>
  </si>
  <si>
    <t>admin</t>
  </si>
  <si>
    <t>WIOA Area 15 - Allocation</t>
  </si>
  <si>
    <t>PY19 &amp; FY20 Actual</t>
  </si>
  <si>
    <t xml:space="preserve">PY19 </t>
  </si>
  <si>
    <t>PY20</t>
  </si>
  <si>
    <t>FY21</t>
  </si>
  <si>
    <t>Final SFY21 Allocations by Area</t>
  </si>
  <si>
    <t>Updated 5/11/2020</t>
  </si>
  <si>
    <t>WIOA</t>
  </si>
  <si>
    <t>Area 14</t>
  </si>
  <si>
    <t>Y %</t>
  </si>
  <si>
    <t>PY20-Y</t>
  </si>
  <si>
    <t>A %</t>
  </si>
  <si>
    <t>SFY21-A</t>
  </si>
  <si>
    <t>PY20-A</t>
  </si>
  <si>
    <t>FY21-A</t>
  </si>
  <si>
    <t>DW %</t>
  </si>
  <si>
    <t>PY20-DW</t>
  </si>
  <si>
    <t>FY21-DW</t>
  </si>
  <si>
    <t>SFY21-DW</t>
  </si>
  <si>
    <t>Athens</t>
  </si>
  <si>
    <t>Meigs</t>
  </si>
  <si>
    <t>Perry</t>
  </si>
  <si>
    <t>Area 15</t>
  </si>
  <si>
    <t>Area 16</t>
  </si>
  <si>
    <t>PY20 &amp; FY21 Actual</t>
  </si>
  <si>
    <t>PY 20</t>
  </si>
  <si>
    <t xml:space="preserve">PY18 </t>
  </si>
  <si>
    <t xml:space="preserve">PY15 </t>
  </si>
  <si>
    <t>PY14</t>
  </si>
  <si>
    <t>PY13</t>
  </si>
  <si>
    <t>PY20 &amp; FY 21 Final from State July 1, 2020-June 30, 2022</t>
  </si>
  <si>
    <t>PY21 &amp; FY 22 = July 1, 2021-June 30, 2022</t>
  </si>
  <si>
    <t xml:space="preserve">     WIOA Area 15 - Allocation</t>
  </si>
  <si>
    <t>PY21</t>
  </si>
  <si>
    <t>FY22</t>
  </si>
  <si>
    <t>PY21 &amp; FY22 Actual</t>
  </si>
  <si>
    <t>PY 21</t>
  </si>
  <si>
    <t>Local Area Breakdown 15</t>
  </si>
  <si>
    <t>Local Area</t>
  </si>
  <si>
    <t>County No.</t>
  </si>
  <si>
    <t>Dislocated</t>
  </si>
  <si>
    <t>.</t>
  </si>
  <si>
    <t>Adult2</t>
  </si>
  <si>
    <t>Adult3</t>
  </si>
  <si>
    <t>,</t>
  </si>
  <si>
    <t>Dis Wkr5</t>
  </si>
  <si>
    <t>Wash</t>
  </si>
  <si>
    <t>&lt;counties</t>
  </si>
  <si>
    <t>&lt;all currently in FA</t>
  </si>
  <si>
    <t>&lt;total county</t>
  </si>
  <si>
    <t>PY22 &amp; FY 23 = July 1, 2022-June 30, 2023</t>
  </si>
  <si>
    <t>Prior 3 Years</t>
  </si>
  <si>
    <t>PY22</t>
  </si>
  <si>
    <t>FY23</t>
  </si>
  <si>
    <t>PY22 &amp; FY23 Actual</t>
  </si>
  <si>
    <t>PY 22</t>
  </si>
  <si>
    <t>PRELIMINARY SFY23 Budgets</t>
  </si>
  <si>
    <t>Based on TEN 20-21</t>
  </si>
  <si>
    <t>CCMEP Youth</t>
  </si>
  <si>
    <t>Area 15 Total</t>
  </si>
  <si>
    <t>These are preliminary amounts only and do not include the PY/FY splits when final amounts are distributed by DOL for SFY 2023.</t>
  </si>
  <si>
    <t xml:space="preserve">OWD issues all of the WIOA formulary  funding to the WIOA Area Fiscal Agent.  The Fiscal Agent has the discretion to distribute funding as they deem appropriate. </t>
  </si>
  <si>
    <t>These amounts are based on county statistics and the Hold Harmless provision that was applied to the entire Area.  This is for informational purposes only.</t>
  </si>
  <si>
    <t>Adult prog</t>
  </si>
  <si>
    <t>Adult admin</t>
  </si>
  <si>
    <t>DW prog</t>
  </si>
  <si>
    <t>DW admin</t>
  </si>
  <si>
    <t>Y prog</t>
  </si>
  <si>
    <t>Y admin</t>
  </si>
  <si>
    <t>5/13/22 change (colored table)</t>
  </si>
  <si>
    <t xml:space="preserve">5/13/22 changed </t>
  </si>
  <si>
    <t>py22</t>
  </si>
  <si>
    <t>fy23</t>
  </si>
  <si>
    <t>adult</t>
  </si>
  <si>
    <t>dw</t>
  </si>
  <si>
    <t>youth</t>
  </si>
  <si>
    <t>% to total from original distribution to apply to the 5/13/22 allocation</t>
  </si>
  <si>
    <t>decrease for audit</t>
  </si>
  <si>
    <t>PY23 &amp; FY 24 = 7-1-2023 to 6-30-2024</t>
  </si>
  <si>
    <t>PY23</t>
  </si>
  <si>
    <t>FY 24</t>
  </si>
  <si>
    <t>PY23 &amp; FY24 Actual</t>
  </si>
  <si>
    <t>PY 23</t>
  </si>
  <si>
    <t>Please ensure that this funding is spent by June 30, 2023.</t>
  </si>
  <si>
    <t>There is no county breakdown available for the additional SFY23 State Special Project funding of $32,281.00.</t>
  </si>
  <si>
    <t>Revised FY23 DW</t>
  </si>
  <si>
    <t>Increase from RR</t>
  </si>
  <si>
    <t>Initial FY23 DW</t>
  </si>
  <si>
    <t>Additional FY23 Dislocated Worker Funding - $49,014.00</t>
  </si>
  <si>
    <t xml:space="preserve">OWD issues all of the WIOA formulary funding to the WIOA Area Fiscal Agent.  The Fiscal Agent has the discretion to distribute funding as they deem appropriate. </t>
  </si>
  <si>
    <t>FY24
(78.43%)</t>
  </si>
  <si>
    <t>PY23
(21.57%)</t>
  </si>
  <si>
    <t>Total SFY24 Dislocated Worker</t>
  </si>
  <si>
    <t>FY24
(80.33%)</t>
  </si>
  <si>
    <t>PY23
(19.67%)</t>
  </si>
  <si>
    <t>Total SFY24 Adult</t>
  </si>
  <si>
    <t>Based on TEGL 15-22</t>
  </si>
  <si>
    <t>Initial SFY24 Budgets</t>
  </si>
  <si>
    <t>Ohio Valley Employment Resource/WIAO15  Allocations, 7/1/22-6/30/23</t>
  </si>
  <si>
    <t xml:space="preserve">As of June 2023 </t>
  </si>
  <si>
    <t>Option A</t>
  </si>
  <si>
    <t>Option B</t>
  </si>
  <si>
    <t>Workforce Funding by County/OVER</t>
  </si>
  <si>
    <t>Total Allocation</t>
  </si>
  <si>
    <t>% of Area Alloc,</t>
  </si>
  <si>
    <t>Total Exp</t>
  </si>
  <si>
    <t>% of Area</t>
  </si>
  <si>
    <t xml:space="preserve">Total </t>
  </si>
  <si>
    <t>PROGRAM</t>
  </si>
  <si>
    <t>Remaining 20-21 only for 6/30/22 by 9/30/22</t>
  </si>
  <si>
    <t>Carryover</t>
  </si>
  <si>
    <t>Current Year's Allocation *</t>
  </si>
  <si>
    <t>Total allocation</t>
  </si>
  <si>
    <t>22-23 Cash Disbursements</t>
  </si>
  <si>
    <t>% Disb</t>
  </si>
  <si>
    <t>6/30/23 Remaining Allocation</t>
  </si>
  <si>
    <t>23-24 State Breakout</t>
  </si>
  <si>
    <t>% State</t>
  </si>
  <si>
    <t>Projected 23-24 Carryover</t>
  </si>
  <si>
    <t>23-24 Alloc @ % of 22-23 cash disb.</t>
  </si>
  <si>
    <t>% Diff</t>
  </si>
  <si>
    <t xml:space="preserve">ADULT           </t>
  </si>
  <si>
    <t>no VR</t>
  </si>
  <si>
    <t>Total Adult</t>
  </si>
  <si>
    <t xml:space="preserve">DISLOCATED  WORKER           </t>
  </si>
  <si>
    <t>Total DW</t>
  </si>
  <si>
    <t xml:space="preserve">YOUTH </t>
  </si>
  <si>
    <t>Total Youth</t>
  </si>
  <si>
    <t>Extra activities OVER perform</t>
  </si>
  <si>
    <t>Administration</t>
  </si>
  <si>
    <t>Outreach</t>
  </si>
  <si>
    <t>VR</t>
  </si>
  <si>
    <t>UC mailings</t>
  </si>
  <si>
    <t>Incumbent</t>
  </si>
  <si>
    <t>Staff Trainings</t>
  </si>
  <si>
    <t>Additional funding</t>
  </si>
  <si>
    <t>Total Admin</t>
  </si>
  <si>
    <t>Additional 49,014 DW from</t>
  </si>
  <si>
    <t xml:space="preserve">Total WIOA Formula </t>
  </si>
  <si>
    <t>state to offset decreases</t>
  </si>
  <si>
    <t>available on need.</t>
  </si>
  <si>
    <t>Total alloc&gt;</t>
  </si>
  <si>
    <t>Total spent 22-23</t>
  </si>
  <si>
    <t>No VR 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</si>
</sst>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%"/>
    <numFmt numFmtId="166" formatCode="_(&quot;$&quot;* #,##0_);_(&quot;$&quot;* \(#,##0\);_(&quot;$&quot;* &quot;-&quot;??_);_(@_)"/>
    <numFmt numFmtId="167" formatCode="#,##0.000000000"/>
    <numFmt numFmtId="168" formatCode="0.000000%"/>
    <numFmt numFmtId="169" formatCode="_(* #,##0_);_(* \(#,##0\);_(* &quot;-&quot;??_);_(@_)"/>
    <numFmt numFmtId="171" formatCode="0.0000%"/>
    <numFmt numFmtId="172" formatCode="mm/dd/yy"/>
    <numFmt numFmtId="173" formatCode="#,##0.0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Arial"/>
      <family val="2"/>
    </font>
    <font>
      <sz val="12"/>
      <color theme="1"/>
      <name val="Times New Roman"/>
      <family val="1"/>
    </font>
    <font>
      <sz val="12"/>
      <color theme="1"/>
      <name val="Arial Narrow"/>
      <family val="2"/>
    </font>
    <font>
      <sz val="10"/>
      <name val="Arial"/>
    </font>
    <font>
      <b/>
      <sz val="14"/>
      <name val="Arial"/>
      <family val="2"/>
    </font>
    <font>
      <b/>
      <sz val="13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theme="8" tint="-0.24997711111789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theme="8" tint="0.79998168889431442"/>
      </bottom>
      <diagonal/>
    </border>
    <border>
      <left/>
      <right/>
      <top/>
      <bottom style="thin">
        <color theme="8" tint="0.59999389629810485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0.79998168889431442"/>
      </top>
      <bottom style="thin">
        <color theme="8" tint="0.79998168889431442"/>
      </bottom>
      <diagonal/>
    </border>
    <border>
      <left/>
      <right/>
      <top style="double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 style="double">
        <color theme="8" tint="-0.249977111117893"/>
      </top>
      <bottom/>
      <diagonal/>
    </border>
    <border>
      <left/>
      <right/>
      <top style="double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double">
        <color theme="8" tint="-0.249977111117893"/>
      </top>
      <bottom style="thin">
        <color theme="8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8">
    <xf numFmtId="0" fontId="0" fillId="0" borderId="0"/>
    <xf numFmtId="9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" fillId="0" borderId="0"/>
    <xf numFmtId="44" fontId="16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290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4" fontId="6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wrapText="1"/>
    </xf>
    <xf numFmtId="4" fontId="0" fillId="0" borderId="0" xfId="0" applyNumberFormat="1"/>
    <xf numFmtId="0" fontId="8" fillId="0" borderId="0" xfId="0" applyFont="1"/>
    <xf numFmtId="38" fontId="0" fillId="0" borderId="1" xfId="0" applyNumberFormat="1" applyBorder="1"/>
    <xf numFmtId="9" fontId="0" fillId="0" borderId="1" xfId="0" applyNumberFormat="1" applyBorder="1"/>
    <xf numFmtId="4" fontId="0" fillId="0" borderId="5" xfId="0" applyNumberFormat="1" applyBorder="1"/>
    <xf numFmtId="38" fontId="0" fillId="0" borderId="2" xfId="0" applyNumberFormat="1" applyBorder="1"/>
    <xf numFmtId="4" fontId="0" fillId="0" borderId="6" xfId="0" applyNumberFormat="1" applyBorder="1" applyAlignment="1">
      <alignment wrapText="1"/>
    </xf>
    <xf numFmtId="38" fontId="0" fillId="0" borderId="0" xfId="0" applyNumberFormat="1"/>
    <xf numFmtId="9" fontId="0" fillId="0" borderId="0" xfId="0" applyNumberFormat="1"/>
    <xf numFmtId="0" fontId="9" fillId="0" borderId="0" xfId="0" applyFont="1"/>
    <xf numFmtId="4" fontId="0" fillId="0" borderId="7" xfId="0" applyNumberFormat="1" applyBorder="1"/>
    <xf numFmtId="10" fontId="0" fillId="0" borderId="1" xfId="0" applyNumberFormat="1" applyBorder="1" applyAlignment="1">
      <alignment wrapText="1"/>
    </xf>
    <xf numFmtId="0" fontId="6" fillId="0" borderId="9" xfId="0" applyFont="1" applyBorder="1" applyAlignment="1">
      <alignment horizontal="center" vertical="center" wrapText="1"/>
    </xf>
    <xf numFmtId="164" fontId="8" fillId="0" borderId="0" xfId="0" applyNumberFormat="1" applyFont="1"/>
    <xf numFmtId="0" fontId="8" fillId="0" borderId="5" xfId="0" applyFont="1" applyBorder="1"/>
    <xf numFmtId="0" fontId="11" fillId="0" borderId="0" xfId="0" applyFont="1" applyAlignment="1">
      <alignment wrapText="1"/>
    </xf>
    <xf numFmtId="0" fontId="10" fillId="0" borderId="0" xfId="0" applyFont="1"/>
    <xf numFmtId="0" fontId="11" fillId="0" borderId="0" xfId="0" applyFont="1"/>
    <xf numFmtId="0" fontId="10" fillId="0" borderId="3" xfId="0" applyFont="1" applyBorder="1" applyAlignment="1">
      <alignment horizontal="center" vertical="center" wrapText="1"/>
    </xf>
    <xf numFmtId="38" fontId="0" fillId="0" borderId="12" xfId="0" applyNumberFormat="1" applyBorder="1"/>
    <xf numFmtId="38" fontId="0" fillId="0" borderId="13" xfId="0" applyNumberFormat="1" applyBorder="1"/>
    <xf numFmtId="4" fontId="10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3" fontId="0" fillId="0" borderId="1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3" fontId="0" fillId="0" borderId="8" xfId="0" applyNumberFormat="1" applyBorder="1"/>
    <xf numFmtId="3" fontId="0" fillId="0" borderId="0" xfId="0" applyNumberFormat="1"/>
    <xf numFmtId="3" fontId="10" fillId="0" borderId="8" xfId="0" applyNumberFormat="1" applyFont="1" applyBorder="1" applyAlignment="1">
      <alignment horizontal="center" vertical="center" wrapText="1"/>
    </xf>
    <xf numFmtId="4" fontId="0" fillId="0" borderId="15" xfId="0" applyNumberFormat="1" applyBorder="1"/>
    <xf numFmtId="4" fontId="8" fillId="0" borderId="5" xfId="0" applyNumberFormat="1" applyFont="1" applyBorder="1"/>
    <xf numFmtId="0" fontId="6" fillId="0" borderId="3" xfId="0" applyFont="1" applyBorder="1" applyAlignment="1">
      <alignment horizontal="center" vertical="center"/>
    </xf>
    <xf numFmtId="4" fontId="8" fillId="0" borderId="5" xfId="0" applyNumberFormat="1" applyFont="1" applyBorder="1" applyAlignment="1">
      <alignment wrapText="1"/>
    </xf>
    <xf numFmtId="165" fontId="0" fillId="0" borderId="0" xfId="1" applyNumberFormat="1" applyFont="1"/>
    <xf numFmtId="9" fontId="0" fillId="0" borderId="2" xfId="0" applyNumberFormat="1" applyBorder="1"/>
    <xf numFmtId="4" fontId="8" fillId="0" borderId="0" xfId="0" applyNumberFormat="1" applyFont="1"/>
    <xf numFmtId="0" fontId="8" fillId="0" borderId="0" xfId="0" quotePrefix="1" applyFont="1"/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" fontId="0" fillId="0" borderId="8" xfId="0" applyNumberFormat="1" applyBorder="1"/>
    <xf numFmtId="38" fontId="0" fillId="0" borderId="8" xfId="0" applyNumberFormat="1" applyBorder="1"/>
    <xf numFmtId="38" fontId="0" fillId="0" borderId="6" xfId="0" applyNumberFormat="1" applyBorder="1"/>
    <xf numFmtId="3" fontId="6" fillId="0" borderId="8" xfId="0" applyNumberFormat="1" applyFont="1" applyBorder="1" applyAlignment="1">
      <alignment horizontal="center" vertical="center" wrapText="1"/>
    </xf>
    <xf numFmtId="10" fontId="0" fillId="0" borderId="2" xfId="0" applyNumberFormat="1" applyBorder="1" applyAlignment="1">
      <alignment wrapText="1"/>
    </xf>
    <xf numFmtId="4" fontId="0" fillId="0" borderId="5" xfId="0" applyNumberFormat="1" applyBorder="1" applyAlignment="1">
      <alignment wrapText="1"/>
    </xf>
    <xf numFmtId="3" fontId="0" fillId="0" borderId="14" xfId="0" applyNumberFormat="1" applyBorder="1"/>
    <xf numFmtId="3" fontId="6" fillId="0" borderId="1" xfId="0" applyNumberFormat="1" applyFont="1" applyBorder="1" applyAlignment="1">
      <alignment horizontal="center" vertical="center" wrapText="1"/>
    </xf>
    <xf numFmtId="3" fontId="0" fillId="0" borderId="6" xfId="0" applyNumberFormat="1" applyBorder="1" applyAlignment="1">
      <alignment wrapText="1"/>
    </xf>
    <xf numFmtId="3" fontId="0" fillId="0" borderId="10" xfId="0" applyNumberFormat="1" applyBorder="1"/>
    <xf numFmtId="3" fontId="10" fillId="0" borderId="8" xfId="0" applyNumberFormat="1" applyFont="1" applyBorder="1" applyAlignment="1">
      <alignment wrapText="1"/>
    </xf>
    <xf numFmtId="3" fontId="0" fillId="0" borderId="4" xfId="0" applyNumberFormat="1" applyBorder="1" applyAlignment="1">
      <alignment wrapText="1"/>
    </xf>
    <xf numFmtId="3" fontId="0" fillId="0" borderId="5" xfId="0" applyNumberFormat="1" applyBorder="1"/>
    <xf numFmtId="3" fontId="0" fillId="0" borderId="7" xfId="0" applyNumberFormat="1" applyBorder="1"/>
    <xf numFmtId="43" fontId="0" fillId="0" borderId="15" xfId="3" applyFont="1" applyBorder="1" applyAlignment="1"/>
    <xf numFmtId="0" fontId="11" fillId="0" borderId="0" xfId="0" quotePrefix="1" applyFont="1"/>
    <xf numFmtId="4" fontId="11" fillId="0" borderId="0" xfId="0" applyNumberFormat="1" applyFont="1"/>
    <xf numFmtId="40" fontId="0" fillId="0" borderId="0" xfId="0" applyNumberFormat="1"/>
    <xf numFmtId="0" fontId="14" fillId="0" borderId="0" xfId="4" applyFont="1"/>
    <xf numFmtId="3" fontId="15" fillId="0" borderId="8" xfId="4" applyNumberFormat="1" applyFont="1" applyBorder="1"/>
    <xf numFmtId="41" fontId="14" fillId="0" borderId="8" xfId="4" applyNumberFormat="1" applyFont="1" applyBorder="1"/>
    <xf numFmtId="10" fontId="14" fillId="0" borderId="8" xfId="4" applyNumberFormat="1" applyFont="1" applyBorder="1"/>
    <xf numFmtId="3" fontId="14" fillId="0" borderId="0" xfId="4" applyNumberFormat="1" applyFont="1"/>
    <xf numFmtId="3" fontId="15" fillId="0" borderId="8" xfId="4" applyNumberFormat="1" applyFont="1" applyBorder="1" applyAlignment="1">
      <alignment wrapText="1"/>
    </xf>
    <xf numFmtId="10" fontId="14" fillId="0" borderId="8" xfId="4" applyNumberFormat="1" applyFont="1" applyBorder="1" applyAlignment="1">
      <alignment wrapText="1"/>
    </xf>
    <xf numFmtId="0" fontId="14" fillId="0" borderId="0" xfId="4" applyFont="1" applyAlignment="1">
      <alignment wrapText="1"/>
    </xf>
    <xf numFmtId="3" fontId="14" fillId="0" borderId="0" xfId="4" applyNumberFormat="1" applyFont="1" applyAlignment="1">
      <alignment horizontal="center"/>
    </xf>
    <xf numFmtId="14" fontId="14" fillId="0" borderId="0" xfId="4" applyNumberFormat="1" applyFont="1"/>
    <xf numFmtId="0" fontId="0" fillId="0" borderId="16" xfId="0" applyBorder="1" applyAlignment="1">
      <alignment wrapText="1"/>
    </xf>
    <xf numFmtId="10" fontId="0" fillId="0" borderId="8" xfId="0" applyNumberFormat="1" applyBorder="1" applyAlignment="1">
      <alignment wrapText="1"/>
    </xf>
    <xf numFmtId="166" fontId="0" fillId="0" borderId="8" xfId="5" applyNumberFormat="1" applyFont="1" applyFill="1" applyBorder="1" applyAlignment="1">
      <alignment wrapText="1"/>
    </xf>
    <xf numFmtId="0" fontId="14" fillId="0" borderId="0" xfId="0" applyFont="1"/>
    <xf numFmtId="3" fontId="0" fillId="0" borderId="8" xfId="0" applyNumberFormat="1" applyBorder="1" applyAlignment="1">
      <alignment wrapText="1"/>
    </xf>
    <xf numFmtId="166" fontId="14" fillId="0" borderId="8" xfId="5" applyNumberFormat="1" applyFont="1" applyFill="1" applyBorder="1"/>
    <xf numFmtId="166" fontId="14" fillId="0" borderId="8" xfId="5" applyNumberFormat="1" applyFont="1" applyFill="1" applyBorder="1" applyAlignment="1">
      <alignment wrapText="1"/>
    </xf>
    <xf numFmtId="0" fontId="0" fillId="0" borderId="17" xfId="0" applyBorder="1" applyAlignment="1">
      <alignment wrapText="1"/>
    </xf>
    <xf numFmtId="166" fontId="14" fillId="0" borderId="8" xfId="5" applyNumberFormat="1" applyFont="1" applyFill="1" applyBorder="1" applyAlignment="1"/>
    <xf numFmtId="44" fontId="14" fillId="0" borderId="0" xfId="0" applyNumberFormat="1" applyFont="1"/>
    <xf numFmtId="10" fontId="14" fillId="0" borderId="8" xfId="0" applyNumberFormat="1" applyFont="1" applyBorder="1"/>
    <xf numFmtId="10" fontId="0" fillId="0" borderId="8" xfId="0" applyNumberFormat="1" applyBorder="1"/>
    <xf numFmtId="166" fontId="0" fillId="0" borderId="8" xfId="5" applyNumberFormat="1" applyFont="1" applyBorder="1"/>
    <xf numFmtId="166" fontId="0" fillId="0" borderId="8" xfId="0" applyNumberFormat="1" applyBorder="1"/>
    <xf numFmtId="0" fontId="14" fillId="2" borderId="0" xfId="4" applyFont="1" applyFill="1"/>
    <xf numFmtId="14" fontId="14" fillId="0" borderId="0" xfId="0" applyNumberFormat="1" applyFont="1"/>
    <xf numFmtId="10" fontId="14" fillId="0" borderId="0" xfId="1" applyNumberFormat="1" applyFont="1" applyFill="1"/>
    <xf numFmtId="0" fontId="14" fillId="0" borderId="0" xfId="0" applyFont="1" applyAlignment="1">
      <alignment wrapText="1"/>
    </xf>
    <xf numFmtId="0" fontId="0" fillId="0" borderId="16" xfId="0" applyBorder="1"/>
    <xf numFmtId="43" fontId="8" fillId="0" borderId="0" xfId="3" applyFont="1"/>
    <xf numFmtId="43" fontId="8" fillId="0" borderId="0" xfId="0" applyNumberFormat="1" applyFont="1"/>
    <xf numFmtId="40" fontId="0" fillId="0" borderId="1" xfId="0" applyNumberFormat="1" applyBorder="1"/>
    <xf numFmtId="43" fontId="0" fillId="0" borderId="1" xfId="3" applyFont="1" applyBorder="1"/>
    <xf numFmtId="43" fontId="0" fillId="0" borderId="0" xfId="0" applyNumberFormat="1"/>
    <xf numFmtId="43" fontId="0" fillId="0" borderId="0" xfId="3" applyFont="1"/>
    <xf numFmtId="43" fontId="6" fillId="0" borderId="3" xfId="3" applyFont="1" applyFill="1" applyBorder="1" applyAlignment="1">
      <alignment horizontal="center" vertical="center" wrapText="1"/>
    </xf>
    <xf numFmtId="43" fontId="0" fillId="0" borderId="0" xfId="3" applyFont="1" applyBorder="1"/>
    <xf numFmtId="43" fontId="6" fillId="0" borderId="0" xfId="0" applyNumberFormat="1" applyFont="1"/>
    <xf numFmtId="0" fontId="8" fillId="3" borderId="0" xfId="0" applyFont="1" applyFill="1"/>
    <xf numFmtId="0" fontId="0" fillId="3" borderId="0" xfId="0" applyFill="1"/>
    <xf numFmtId="4" fontId="8" fillId="3" borderId="5" xfId="0" applyNumberFormat="1" applyFont="1" applyFill="1" applyBorder="1" applyAlignment="1">
      <alignment wrapText="1"/>
    </xf>
    <xf numFmtId="43" fontId="0" fillId="3" borderId="0" xfId="3" applyFont="1" applyFill="1"/>
    <xf numFmtId="4" fontId="0" fillId="3" borderId="15" xfId="0" applyNumberFormat="1" applyFill="1" applyBorder="1"/>
    <xf numFmtId="43" fontId="0" fillId="3" borderId="0" xfId="0" applyNumberFormat="1" applyFill="1"/>
    <xf numFmtId="43" fontId="0" fillId="3" borderId="15" xfId="3" applyFont="1" applyFill="1" applyBorder="1" applyAlignment="1"/>
    <xf numFmtId="3" fontId="0" fillId="3" borderId="0" xfId="0" applyNumberFormat="1" applyFill="1"/>
    <xf numFmtId="0" fontId="14" fillId="0" borderId="0" xfId="6" applyFont="1"/>
    <xf numFmtId="14" fontId="14" fillId="0" borderId="0" xfId="6" applyNumberFormat="1" applyFont="1"/>
    <xf numFmtId="10" fontId="14" fillId="0" borderId="0" xfId="7" applyNumberFormat="1" applyFont="1" applyFill="1"/>
    <xf numFmtId="0" fontId="14" fillId="0" borderId="0" xfId="6" applyFont="1" applyAlignment="1">
      <alignment wrapText="1"/>
    </xf>
    <xf numFmtId="9" fontId="14" fillId="0" borderId="8" xfId="7" applyFont="1" applyFill="1" applyBorder="1"/>
    <xf numFmtId="166" fontId="14" fillId="0" borderId="8" xfId="8" applyNumberFormat="1" applyFont="1" applyFill="1" applyBorder="1"/>
    <xf numFmtId="9" fontId="14" fillId="0" borderId="8" xfId="6" applyNumberFormat="1" applyFont="1" applyBorder="1"/>
    <xf numFmtId="166" fontId="14" fillId="0" borderId="8" xfId="6" applyNumberFormat="1" applyFont="1" applyBorder="1"/>
    <xf numFmtId="44" fontId="14" fillId="0" borderId="0" xfId="8" applyFont="1" applyFill="1"/>
    <xf numFmtId="166" fontId="14" fillId="0" borderId="0" xfId="6" applyNumberFormat="1" applyFont="1"/>
    <xf numFmtId="3" fontId="0" fillId="0" borderId="15" xfId="0" applyNumberFormat="1" applyBorder="1"/>
    <xf numFmtId="3" fontId="0" fillId="3" borderId="15" xfId="0" applyNumberFormat="1" applyFill="1" applyBorder="1"/>
    <xf numFmtId="3" fontId="0" fillId="0" borderId="15" xfId="3" applyNumberFormat="1" applyFont="1" applyBorder="1" applyAlignment="1"/>
    <xf numFmtId="3" fontId="0" fillId="3" borderId="15" xfId="3" applyNumberFormat="1" applyFont="1" applyFill="1" applyBorder="1" applyAlignment="1"/>
    <xf numFmtId="167" fontId="0" fillId="0" borderId="0" xfId="0" applyNumberFormat="1"/>
    <xf numFmtId="0" fontId="3" fillId="0" borderId="0" xfId="9"/>
    <xf numFmtId="0" fontId="18" fillId="7" borderId="18" xfId="9" applyFont="1" applyFill="1" applyBorder="1"/>
    <xf numFmtId="0" fontId="18" fillId="7" borderId="19" xfId="9" applyFont="1" applyFill="1" applyBorder="1"/>
    <xf numFmtId="0" fontId="3" fillId="0" borderId="20" xfId="9" applyBorder="1" applyAlignment="1">
      <alignment horizontal="left"/>
    </xf>
    <xf numFmtId="10" fontId="3" fillId="0" borderId="21" xfId="9" applyNumberFormat="1" applyBorder="1"/>
    <xf numFmtId="166" fontId="3" fillId="0" borderId="20" xfId="9" applyNumberFormat="1" applyBorder="1"/>
    <xf numFmtId="166" fontId="3" fillId="0" borderId="21" xfId="9" applyNumberFormat="1" applyBorder="1"/>
    <xf numFmtId="0" fontId="3" fillId="0" borderId="22" xfId="9" applyBorder="1" applyAlignment="1">
      <alignment horizontal="left"/>
    </xf>
    <xf numFmtId="10" fontId="3" fillId="0" borderId="23" xfId="9" applyNumberFormat="1" applyBorder="1"/>
    <xf numFmtId="166" fontId="3" fillId="0" borderId="22" xfId="9" applyNumberFormat="1" applyBorder="1"/>
    <xf numFmtId="166" fontId="3" fillId="0" borderId="23" xfId="9" applyNumberFormat="1" applyBorder="1"/>
    <xf numFmtId="0" fontId="17" fillId="0" borderId="24" xfId="9" applyFont="1" applyBorder="1" applyAlignment="1">
      <alignment horizontal="left"/>
    </xf>
    <xf numFmtId="10" fontId="17" fillId="0" borderId="25" xfId="9" applyNumberFormat="1" applyFont="1" applyBorder="1"/>
    <xf numFmtId="166" fontId="17" fillId="0" borderId="24" xfId="9" applyNumberFormat="1" applyFont="1" applyBorder="1"/>
    <xf numFmtId="166" fontId="17" fillId="0" borderId="25" xfId="9" applyNumberFormat="1" applyFont="1" applyBorder="1"/>
    <xf numFmtId="0" fontId="17" fillId="0" borderId="26" xfId="9" applyFont="1" applyBorder="1" applyAlignment="1">
      <alignment horizontal="left"/>
    </xf>
    <xf numFmtId="10" fontId="17" fillId="0" borderId="27" xfId="9" applyNumberFormat="1" applyFont="1" applyBorder="1"/>
    <xf numFmtId="166" fontId="17" fillId="2" borderId="26" xfId="9" applyNumberFormat="1" applyFont="1" applyFill="1" applyBorder="1"/>
    <xf numFmtId="166" fontId="17" fillId="0" borderId="27" xfId="9" applyNumberFormat="1" applyFont="1" applyBorder="1"/>
    <xf numFmtId="166" fontId="17" fillId="0" borderId="26" xfId="9" applyNumberFormat="1" applyFont="1" applyBorder="1"/>
    <xf numFmtId="44" fontId="3" fillId="0" borderId="0" xfId="9" applyNumberFormat="1"/>
    <xf numFmtId="166" fontId="3" fillId="0" borderId="0" xfId="9" applyNumberFormat="1"/>
    <xf numFmtId="168" fontId="0" fillId="0" borderId="0" xfId="10" applyNumberFormat="1" applyFont="1"/>
    <xf numFmtId="0" fontId="6" fillId="0" borderId="0" xfId="0" applyFont="1"/>
    <xf numFmtId="38" fontId="0" fillId="0" borderId="15" xfId="0" applyNumberFormat="1" applyBorder="1"/>
    <xf numFmtId="0" fontId="21" fillId="0" borderId="0" xfId="0" applyFont="1"/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1" applyNumberFormat="1" applyFont="1"/>
    <xf numFmtId="0" fontId="17" fillId="0" borderId="0" xfId="0" applyFont="1" applyAlignment="1">
      <alignment horizontal="right"/>
    </xf>
    <xf numFmtId="44" fontId="17" fillId="0" borderId="0" xfId="5" applyFont="1"/>
    <xf numFmtId="44" fontId="0" fillId="0" borderId="0" xfId="0" applyNumberFormat="1"/>
    <xf numFmtId="3" fontId="0" fillId="0" borderId="0" xfId="3" applyNumberFormat="1" applyFont="1"/>
    <xf numFmtId="0" fontId="23" fillId="0" borderId="0" xfId="11" applyFont="1"/>
    <xf numFmtId="169" fontId="23" fillId="0" borderId="0" xfId="12" applyNumberFormat="1" applyFont="1"/>
    <xf numFmtId="0" fontId="23" fillId="0" borderId="0" xfId="11" applyFont="1" applyAlignment="1">
      <alignment wrapText="1"/>
    </xf>
    <xf numFmtId="166" fontId="23" fillId="0" borderId="8" xfId="13" applyNumberFormat="1" applyFont="1" applyBorder="1"/>
    <xf numFmtId="0" fontId="23" fillId="0" borderId="0" xfId="11" applyFont="1" applyAlignment="1">
      <alignment horizontal="right"/>
    </xf>
    <xf numFmtId="169" fontId="23" fillId="0" borderId="15" xfId="12" applyNumberFormat="1" applyFont="1" applyBorder="1"/>
    <xf numFmtId="0" fontId="24" fillId="0" borderId="0" xfId="11" applyFont="1"/>
    <xf numFmtId="0" fontId="23" fillId="0" borderId="0" xfId="0" applyFont="1" applyAlignment="1">
      <alignment wrapText="1"/>
    </xf>
    <xf numFmtId="0" fontId="23" fillId="0" borderId="0" xfId="0" applyFont="1"/>
    <xf numFmtId="166" fontId="0" fillId="0" borderId="0" xfId="0" applyNumberFormat="1"/>
    <xf numFmtId="169" fontId="23" fillId="0" borderId="0" xfId="2" applyNumberFormat="1" applyFont="1"/>
    <xf numFmtId="0" fontId="0" fillId="0" borderId="15" xfId="0" applyBorder="1"/>
    <xf numFmtId="166" fontId="0" fillId="0" borderId="15" xfId="0" applyNumberFormat="1" applyBorder="1"/>
    <xf numFmtId="169" fontId="23" fillId="0" borderId="15" xfId="2" applyNumberFormat="1" applyFont="1" applyBorder="1"/>
    <xf numFmtId="9" fontId="23" fillId="0" borderId="8" xfId="1" applyFont="1" applyBorder="1"/>
    <xf numFmtId="0" fontId="23" fillId="0" borderId="0" xfId="0" applyFont="1" applyAlignment="1">
      <alignment horizontal="right"/>
    </xf>
    <xf numFmtId="22" fontId="22" fillId="0" borderId="0" xfId="0" applyNumberFormat="1" applyFont="1"/>
    <xf numFmtId="0" fontId="0" fillId="0" borderId="28" xfId="0" applyBorder="1"/>
    <xf numFmtId="0" fontId="0" fillId="0" borderId="29" xfId="0" applyBorder="1"/>
    <xf numFmtId="165" fontId="0" fillId="0" borderId="30" xfId="1" applyNumberFormat="1" applyFont="1" applyBorder="1"/>
    <xf numFmtId="0" fontId="0" fillId="0" borderId="31" xfId="0" applyBorder="1"/>
    <xf numFmtId="0" fontId="0" fillId="0" borderId="30" xfId="0" applyBorder="1"/>
    <xf numFmtId="38" fontId="0" fillId="0" borderId="32" xfId="0" applyNumberFormat="1" applyBorder="1"/>
    <xf numFmtId="0" fontId="0" fillId="0" borderId="33" xfId="0" applyBorder="1"/>
    <xf numFmtId="0" fontId="23" fillId="0" borderId="0" xfId="14" applyFont="1"/>
    <xf numFmtId="44" fontId="23" fillId="0" borderId="0" xfId="15" applyFont="1" applyBorder="1"/>
    <xf numFmtId="44" fontId="23" fillId="0" borderId="0" xfId="14" applyNumberFormat="1" applyFont="1"/>
    <xf numFmtId="166" fontId="23" fillId="8" borderId="8" xfId="15" applyNumberFormat="1" applyFont="1" applyFill="1" applyBorder="1"/>
    <xf numFmtId="0" fontId="23" fillId="8" borderId="0" xfId="14" applyFont="1" applyFill="1" applyAlignment="1">
      <alignment horizontal="right"/>
    </xf>
    <xf numFmtId="0" fontId="23" fillId="8" borderId="0" xfId="14" applyFont="1" applyFill="1"/>
    <xf numFmtId="166" fontId="23" fillId="0" borderId="8" xfId="15" applyNumberFormat="1" applyFont="1" applyFill="1" applyBorder="1"/>
    <xf numFmtId="0" fontId="23" fillId="0" borderId="0" xfId="14" applyFont="1" applyAlignment="1">
      <alignment horizontal="left" vertical="top"/>
    </xf>
    <xf numFmtId="0" fontId="23" fillId="8" borderId="0" xfId="14" applyFont="1" applyFill="1" applyAlignment="1">
      <alignment horizontal="left" vertical="top"/>
    </xf>
    <xf numFmtId="166" fontId="23" fillId="0" borderId="0" xfId="14" applyNumberFormat="1" applyFont="1"/>
    <xf numFmtId="0" fontId="24" fillId="0" borderId="0" xfId="14" applyFont="1"/>
    <xf numFmtId="166" fontId="23" fillId="8" borderId="0" xfId="15" applyNumberFormat="1" applyFont="1" applyFill="1" applyBorder="1"/>
    <xf numFmtId="166" fontId="23" fillId="0" borderId="0" xfId="15" applyNumberFormat="1" applyFont="1" applyFill="1" applyBorder="1"/>
    <xf numFmtId="0" fontId="23" fillId="0" borderId="0" xfId="14" applyFont="1" applyAlignment="1">
      <alignment wrapText="1"/>
    </xf>
    <xf numFmtId="22" fontId="8" fillId="0" borderId="0" xfId="0" applyNumberFormat="1" applyFont="1" applyAlignment="1">
      <alignment horizontal="center"/>
    </xf>
    <xf numFmtId="0" fontId="20" fillId="4" borderId="0" xfId="9" applyFont="1" applyFill="1" applyAlignment="1">
      <alignment horizontal="center"/>
    </xf>
    <xf numFmtId="0" fontId="20" fillId="5" borderId="0" xfId="9" applyFont="1" applyFill="1" applyAlignment="1">
      <alignment horizontal="center"/>
    </xf>
    <xf numFmtId="0" fontId="20" fillId="6" borderId="0" xfId="9" applyFont="1" applyFill="1" applyAlignment="1">
      <alignment horizontal="center"/>
    </xf>
    <xf numFmtId="0" fontId="19" fillId="0" borderId="0" xfId="9" applyFont="1" applyAlignment="1">
      <alignment horizontal="center" vertical="center"/>
    </xf>
    <xf numFmtId="14" fontId="3" fillId="0" borderId="0" xfId="9" applyNumberFormat="1" applyAlignment="1">
      <alignment horizontal="center" vertical="center" wrapText="1"/>
    </xf>
    <xf numFmtId="0" fontId="14" fillId="0" borderId="0" xfId="4" applyFont="1" applyAlignment="1">
      <alignment horizontal="center"/>
    </xf>
    <xf numFmtId="171" fontId="0" fillId="0" borderId="0" xfId="1" applyNumberFormat="1" applyFont="1"/>
    <xf numFmtId="22" fontId="6" fillId="0" borderId="0" xfId="0" applyNumberFormat="1" applyFont="1" applyAlignment="1">
      <alignment horizontal="left"/>
    </xf>
    <xf numFmtId="0" fontId="26" fillId="3" borderId="0" xfId="0" applyFont="1" applyFill="1" applyAlignment="1">
      <alignment horizontal="center"/>
    </xf>
    <xf numFmtId="169" fontId="0" fillId="2" borderId="0" xfId="16" applyNumberFormat="1" applyFont="1" applyFill="1"/>
    <xf numFmtId="0" fontId="6" fillId="0" borderId="7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169" fontId="6" fillId="0" borderId="7" xfId="16" applyNumberFormat="1" applyFont="1" applyBorder="1" applyAlignment="1">
      <alignment horizontal="center"/>
    </xf>
    <xf numFmtId="169" fontId="6" fillId="0" borderId="34" xfId="16" applyNumberFormat="1" applyFont="1" applyBorder="1" applyAlignment="1">
      <alignment horizontal="center"/>
    </xf>
    <xf numFmtId="169" fontId="6" fillId="0" borderId="35" xfId="16" applyNumberFormat="1" applyFont="1" applyBorder="1" applyAlignment="1">
      <alignment horizontal="center"/>
    </xf>
    <xf numFmtId="0" fontId="26" fillId="0" borderId="0" xfId="0" applyFont="1" applyAlignment="1">
      <alignment horizontal="left"/>
    </xf>
    <xf numFmtId="172" fontId="6" fillId="3" borderId="0" xfId="0" applyNumberFormat="1" applyFont="1" applyFill="1" applyAlignment="1">
      <alignment horizontal="center" wrapText="1"/>
    </xf>
    <xf numFmtId="172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28" xfId="0" applyFont="1" applyBorder="1"/>
    <xf numFmtId="4" fontId="0" fillId="0" borderId="36" xfId="0" applyNumberFormat="1" applyBorder="1" applyAlignment="1">
      <alignment horizontal="right"/>
    </xf>
    <xf numFmtId="4" fontId="0" fillId="3" borderId="36" xfId="0" applyNumberFormat="1" applyFill="1" applyBorder="1" applyAlignment="1">
      <alignment horizontal="right"/>
    </xf>
    <xf numFmtId="9" fontId="0" fillId="0" borderId="36" xfId="17" applyFont="1" applyBorder="1" applyAlignment="1">
      <alignment horizontal="right"/>
    </xf>
    <xf numFmtId="0" fontId="6" fillId="0" borderId="30" xfId="0" applyFont="1" applyBorder="1" applyAlignment="1">
      <alignment horizontal="left"/>
    </xf>
    <xf numFmtId="4" fontId="0" fillId="0" borderId="0" xfId="0" applyNumberFormat="1" applyAlignment="1">
      <alignment horizontal="right"/>
    </xf>
    <xf numFmtId="9" fontId="0" fillId="0" borderId="0" xfId="17" applyFont="1" applyBorder="1" applyAlignment="1">
      <alignment horizontal="right"/>
    </xf>
    <xf numFmtId="4" fontId="0" fillId="0" borderId="37" xfId="0" applyNumberFormat="1" applyBorder="1" applyAlignment="1">
      <alignment horizontal="right"/>
    </xf>
    <xf numFmtId="9" fontId="0" fillId="0" borderId="37" xfId="17" applyFont="1" applyBorder="1" applyAlignment="1">
      <alignment horizontal="right"/>
    </xf>
    <xf numFmtId="173" fontId="6" fillId="0" borderId="32" xfId="0" applyNumberFormat="1" applyFont="1" applyBorder="1" applyAlignment="1">
      <alignment horizontal="right"/>
    </xf>
    <xf numFmtId="4" fontId="0" fillId="3" borderId="37" xfId="0" applyNumberFormat="1" applyFill="1" applyBorder="1" applyAlignment="1">
      <alignment horizontal="right"/>
    </xf>
    <xf numFmtId="0" fontId="6" fillId="0" borderId="0" xfId="0" applyFont="1" applyAlignment="1">
      <alignment wrapText="1"/>
    </xf>
    <xf numFmtId="0" fontId="6" fillId="0" borderId="28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29" xfId="0" applyFont="1" applyBorder="1" applyAlignment="1">
      <alignment wrapText="1"/>
    </xf>
    <xf numFmtId="169" fontId="6" fillId="2" borderId="28" xfId="16" applyNumberFormat="1" applyFont="1" applyFill="1" applyBorder="1" applyAlignment="1">
      <alignment wrapText="1"/>
    </xf>
    <xf numFmtId="0" fontId="6" fillId="0" borderId="37" xfId="0" applyFont="1" applyBorder="1" applyAlignment="1">
      <alignment horizontal="center" wrapText="1"/>
    </xf>
    <xf numFmtId="0" fontId="27" fillId="0" borderId="28" xfId="0" applyFont="1" applyBorder="1"/>
    <xf numFmtId="4" fontId="0" fillId="0" borderId="28" xfId="0" applyNumberFormat="1" applyBorder="1" applyAlignment="1">
      <alignment horizontal="right"/>
    </xf>
    <xf numFmtId="4" fontId="0" fillId="0" borderId="29" xfId="0" applyNumberFormat="1" applyBorder="1" applyAlignment="1">
      <alignment horizontal="right"/>
    </xf>
    <xf numFmtId="169" fontId="0" fillId="2" borderId="30" xfId="16" applyNumberFormat="1" applyFont="1" applyFill="1" applyBorder="1"/>
    <xf numFmtId="4" fontId="0" fillId="0" borderId="30" xfId="0" applyNumberFormat="1" applyBorder="1"/>
    <xf numFmtId="4" fontId="0" fillId="0" borderId="31" xfId="0" applyNumberFormat="1" applyBorder="1" applyAlignment="1">
      <alignment horizontal="right"/>
    </xf>
    <xf numFmtId="3" fontId="0" fillId="0" borderId="30" xfId="0" applyNumberFormat="1" applyBorder="1"/>
    <xf numFmtId="9" fontId="0" fillId="0" borderId="0" xfId="17" applyFont="1" applyBorder="1"/>
    <xf numFmtId="4" fontId="0" fillId="0" borderId="31" xfId="0" applyNumberFormat="1" applyBorder="1"/>
    <xf numFmtId="43" fontId="0" fillId="0" borderId="31" xfId="0" applyNumberFormat="1" applyBorder="1"/>
    <xf numFmtId="169" fontId="0" fillId="0" borderId="0" xfId="16" applyNumberFormat="1" applyFont="1"/>
    <xf numFmtId="4" fontId="28" fillId="0" borderId="31" xfId="0" applyNumberFormat="1" applyFont="1" applyBorder="1"/>
    <xf numFmtId="4" fontId="0" fillId="0" borderId="32" xfId="0" applyNumberFormat="1" applyBorder="1"/>
    <xf numFmtId="4" fontId="0" fillId="0" borderId="33" xfId="0" applyNumberFormat="1" applyBorder="1" applyAlignment="1">
      <alignment horizontal="right"/>
    </xf>
    <xf numFmtId="4" fontId="0" fillId="0" borderId="32" xfId="0" applyNumberFormat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4" fontId="0" fillId="2" borderId="32" xfId="0" applyNumberFormat="1" applyFill="1" applyBorder="1" applyAlignment="1">
      <alignment horizontal="center"/>
    </xf>
    <xf numFmtId="169" fontId="0" fillId="0" borderId="0" xfId="0" applyNumberFormat="1"/>
    <xf numFmtId="4" fontId="0" fillId="0" borderId="32" xfId="0" applyNumberFormat="1" applyBorder="1" applyAlignment="1">
      <alignment horizontal="right"/>
    </xf>
    <xf numFmtId="4" fontId="0" fillId="2" borderId="32" xfId="0" applyNumberFormat="1" applyFill="1" applyBorder="1" applyAlignment="1">
      <alignment horizontal="right"/>
    </xf>
    <xf numFmtId="0" fontId="6" fillId="0" borderId="0" xfId="0" applyFont="1" applyAlignment="1">
      <alignment horizontal="left"/>
    </xf>
    <xf numFmtId="4" fontId="0" fillId="3" borderId="0" xfId="0" applyNumberFormat="1" applyFill="1" applyAlignment="1">
      <alignment horizontal="right"/>
    </xf>
    <xf numFmtId="4" fontId="0" fillId="0" borderId="28" xfId="0" applyNumberFormat="1" applyBorder="1"/>
    <xf numFmtId="4" fontId="11" fillId="0" borderId="33" xfId="0" applyNumberFormat="1" applyFont="1" applyBorder="1" applyAlignment="1">
      <alignment horizontal="right"/>
    </xf>
    <xf numFmtId="4" fontId="0" fillId="0" borderId="36" xfId="0" applyNumberFormat="1" applyBorder="1" applyAlignment="1">
      <alignment horizontal="right" wrapText="1"/>
    </xf>
    <xf numFmtId="0" fontId="11" fillId="0" borderId="28" xfId="0" applyFont="1" applyBorder="1"/>
    <xf numFmtId="9" fontId="0" fillId="0" borderId="36" xfId="17" applyFont="1" applyBorder="1"/>
    <xf numFmtId="4" fontId="0" fillId="0" borderId="0" xfId="0" applyNumberFormat="1" applyAlignment="1">
      <alignment horizontal="right" wrapText="1"/>
    </xf>
    <xf numFmtId="43" fontId="11" fillId="0" borderId="30" xfId="16" applyFont="1" applyBorder="1"/>
    <xf numFmtId="43" fontId="11" fillId="0" borderId="0" xfId="16" applyFont="1" applyBorder="1"/>
    <xf numFmtId="43" fontId="0" fillId="0" borderId="31" xfId="16" applyFont="1" applyBorder="1"/>
    <xf numFmtId="4" fontId="0" fillId="3" borderId="36" xfId="0" applyNumberFormat="1" applyFill="1" applyBorder="1" applyAlignment="1">
      <alignment horizontal="left"/>
    </xf>
    <xf numFmtId="9" fontId="11" fillId="0" borderId="0" xfId="17" applyFont="1" applyBorder="1"/>
    <xf numFmtId="4" fontId="0" fillId="9" borderId="30" xfId="0" applyNumberFormat="1" applyFill="1" applyBorder="1"/>
    <xf numFmtId="4" fontId="0" fillId="9" borderId="0" xfId="0" applyNumberFormat="1" applyFill="1" applyAlignment="1">
      <alignment horizontal="right"/>
    </xf>
    <xf numFmtId="0" fontId="0" fillId="0" borderId="32" xfId="0" applyBorder="1"/>
    <xf numFmtId="9" fontId="11" fillId="0" borderId="37" xfId="17" applyFont="1" applyBorder="1"/>
    <xf numFmtId="4" fontId="6" fillId="0" borderId="0" xfId="0" applyNumberFormat="1" applyFont="1" applyAlignment="1">
      <alignment horizontal="right"/>
    </xf>
    <xf numFmtId="4" fontId="6" fillId="0" borderId="30" xfId="0" applyNumberFormat="1" applyFont="1" applyBorder="1"/>
    <xf numFmtId="4" fontId="6" fillId="0" borderId="31" xfId="0" applyNumberFormat="1" applyFont="1" applyBorder="1" applyAlignment="1">
      <alignment horizontal="right"/>
    </xf>
    <xf numFmtId="43" fontId="6" fillId="0" borderId="30" xfId="16" applyFont="1" applyBorder="1"/>
    <xf numFmtId="43" fontId="6" fillId="0" borderId="0" xfId="16" applyFont="1" applyBorder="1"/>
    <xf numFmtId="43" fontId="6" fillId="0" borderId="31" xfId="16" applyFont="1" applyBorder="1"/>
    <xf numFmtId="169" fontId="6" fillId="2" borderId="30" xfId="16" applyNumberFormat="1" applyFont="1" applyFill="1" applyBorder="1"/>
    <xf numFmtId="0" fontId="6" fillId="0" borderId="31" xfId="0" applyFont="1" applyBorder="1"/>
    <xf numFmtId="0" fontId="6" fillId="0" borderId="30" xfId="0" applyFont="1" applyBorder="1"/>
    <xf numFmtId="43" fontId="0" fillId="0" borderId="30" xfId="16" applyFont="1" applyBorder="1"/>
    <xf numFmtId="43" fontId="0" fillId="0" borderId="0" xfId="16" applyFont="1" applyBorder="1"/>
    <xf numFmtId="0" fontId="11" fillId="0" borderId="31" xfId="0" applyFont="1" applyBorder="1"/>
    <xf numFmtId="0" fontId="11" fillId="0" borderId="30" xfId="0" applyFont="1" applyBorder="1"/>
    <xf numFmtId="4" fontId="11" fillId="0" borderId="32" xfId="0" applyNumberFormat="1" applyFont="1" applyBorder="1"/>
    <xf numFmtId="4" fontId="11" fillId="0" borderId="37" xfId="0" applyNumberFormat="1" applyFont="1" applyBorder="1"/>
    <xf numFmtId="4" fontId="11" fillId="0" borderId="33" xfId="0" applyNumberFormat="1" applyFont="1" applyBorder="1"/>
    <xf numFmtId="4" fontId="11" fillId="2" borderId="32" xfId="0" applyNumberFormat="1" applyFont="1" applyFill="1" applyBorder="1"/>
    <xf numFmtId="0" fontId="11" fillId="0" borderId="32" xfId="0" applyFont="1" applyBorder="1"/>
    <xf numFmtId="9" fontId="0" fillId="0" borderId="37" xfId="17" applyFont="1" applyBorder="1"/>
    <xf numFmtId="169" fontId="0" fillId="2" borderId="0" xfId="16" applyNumberFormat="1" applyFont="1" applyFill="1" applyBorder="1"/>
  </cellXfs>
  <cellStyles count="18">
    <cellStyle name="Comma" xfId="3" builtinId="3"/>
    <cellStyle name="Comma 2" xfId="2" xr:uid="{00000000-0005-0000-0000-000001000000}"/>
    <cellStyle name="Comma 3" xfId="12" xr:uid="{83293349-30C1-4F61-AE2E-D38D54BAE91E}"/>
    <cellStyle name="Comma 4" xfId="16" xr:uid="{D59A013E-08A4-405C-BB60-6F07916D0229}"/>
    <cellStyle name="Currency" xfId="5" builtinId="4"/>
    <cellStyle name="Currency 2" xfId="8" xr:uid="{00000000-0005-0000-0000-000003000000}"/>
    <cellStyle name="Currency 3" xfId="13" xr:uid="{4F4B396E-3043-42DC-AFB6-7E21C97D641C}"/>
    <cellStyle name="Currency 4" xfId="15" xr:uid="{411E0561-6150-4AC1-A8AC-AFCA084B3049}"/>
    <cellStyle name="Normal" xfId="0" builtinId="0"/>
    <cellStyle name="Normal 2" xfId="4" xr:uid="{00000000-0005-0000-0000-000005000000}"/>
    <cellStyle name="Normal 3" xfId="6" xr:uid="{00000000-0005-0000-0000-000006000000}"/>
    <cellStyle name="Normal 4" xfId="9" xr:uid="{00000000-0005-0000-0000-000007000000}"/>
    <cellStyle name="Normal 5" xfId="11" xr:uid="{DF6DE54B-759D-4EFE-8598-ED11991DAA1F}"/>
    <cellStyle name="Normal 6" xfId="14" xr:uid="{B84913EC-FA1B-45B8-8583-766BB76EBA02}"/>
    <cellStyle name="Percent" xfId="1" builtinId="5"/>
    <cellStyle name="Percent 2" xfId="7" xr:uid="{00000000-0005-0000-0000-000009000000}"/>
    <cellStyle name="Percent 3" xfId="10" xr:uid="{00000000-0005-0000-0000-00000A000000}"/>
    <cellStyle name="Percent 4" xfId="17" xr:uid="{8578DEDC-3F60-4ACB-9F1C-8063FB776C91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274819</xdr:colOff>
      <xdr:row>32</xdr:row>
      <xdr:rowOff>18400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247619" cy="520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s/OneDrive/Documents/+%20TEMP%20FOR%20WORK/WIOA%20allocations/WIOA%20Final%20Formula%20-%20SFY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36a9f99d49f6e47c/Documents/22-23%20WIOA15/OVER%202022-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hiodas-my.sharepoint.com/personal/10182651_id_ohio_gov/Documents/Downloads/County%20Breakdown%20pivot%20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36a9f99d49f6e47c/Documents/21-22%20WIOA15/OVER%202021-22%20.xlsx" TargetMode="External"/><Relationship Id="rId1" Type="http://schemas.openxmlformats.org/officeDocument/2006/relationships/externalLinkPath" Target="/36a9f99d49f6e47c/Documents/21-22%20WIOA15/OVER%202021-22%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20-20201%20Allocations%20WIOA%20May%2011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becca%20Safko/Documents/A%20Director/One-Stop/MOU%2019-21/Revised%20MOU%20budget%20overview%202019-2021%2006242019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36a9f99d49f6e47c/Documents/22-23%20WIOA15/Monroe%202022-23.xlsx" TargetMode="External"/><Relationship Id="rId1" Type="http://schemas.openxmlformats.org/officeDocument/2006/relationships/externalLinkPath" Target="/36a9f99d49f6e47c/Documents/22-23%20WIOA15/Monroe%202022-23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36a9f99d49f6e47c/Documents/22-23%20WIOA15/Morgan%202022-23.xlsx" TargetMode="External"/><Relationship Id="rId1" Type="http://schemas.openxmlformats.org/officeDocument/2006/relationships/externalLinkPath" Target="/36a9f99d49f6e47c/Documents/22-23%20WIOA15/Morgan%202022-23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36a9f99d49f6e47c/Documents/22-23%20WIOA15/Noble%202022-23.xlsx" TargetMode="External"/><Relationship Id="rId1" Type="http://schemas.openxmlformats.org/officeDocument/2006/relationships/externalLinkPath" Target="/36a9f99d49f6e47c/Documents/22-23%20WIOA15/Noble%202022-23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36a9f99d49f6e47c/Documents/22-23%20WIOA15/WCDJFS%202022-23.xlsx" TargetMode="External"/><Relationship Id="rId1" Type="http://schemas.openxmlformats.org/officeDocument/2006/relationships/externalLinkPath" Target="/36a9f99d49f6e47c/Documents/22-23%20WIOA15/WCDJFS%202022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 TEGL 16-18"/>
      <sheetName val="I. Allocations"/>
      <sheetName val="II. Hold Harmless"/>
      <sheetName val="III. Adjustments"/>
      <sheetName val="IV. PY-FY Split"/>
      <sheetName val="ASU UNEMPLOYED 2019"/>
      <sheetName val="SFY EXCESS UNEMPLOYED 2019"/>
      <sheetName val="Disadvantaged"/>
      <sheetName val="INSURED UNEMPLOYED 2019"/>
      <sheetName val="UNEMP CONCENTRATIONS 2019"/>
      <sheetName val="Non-WARN stats"/>
      <sheetName val="WARN stats"/>
      <sheetName val="DECLINING INDUSTRIES 2018"/>
      <sheetName val="Farm statistic"/>
      <sheetName val="UNEMPLOYED 15+ 2019"/>
    </sheetNames>
    <sheetDataSet>
      <sheetData sheetId="0">
        <row r="4">
          <cell r="B4">
            <v>42414320</v>
          </cell>
        </row>
        <row r="5">
          <cell r="B5">
            <v>37181539</v>
          </cell>
        </row>
        <row r="6">
          <cell r="B6">
            <v>45496637</v>
          </cell>
        </row>
      </sheetData>
      <sheetData sheetId="1"/>
      <sheetData sheetId="2"/>
      <sheetData sheetId="3">
        <row r="11">
          <cell r="G11">
            <v>1475418.6683251751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Index"/>
      <sheetName val="Mar Adjust per DOL"/>
      <sheetName val="entry FA"/>
      <sheetName val="CFIS codes"/>
      <sheetName val="Expenditure"/>
      <sheetName val="Allocation Sheet"/>
      <sheetName val="Cash on Hand"/>
      <sheetName val="WIOA CCMEP"/>
      <sheetName val="TANF CCMEP"/>
      <sheetName val="Shard or RMSacc"/>
      <sheetName val="Omni Circ Cont Descrip"/>
      <sheetName val="Prog Inc-Stand In"/>
      <sheetName val="One-Stop"/>
      <sheetName val="entry"/>
      <sheetName val="Draw"/>
      <sheetName val="Bill List-Formula"/>
    </sheetNames>
    <sheetDataSet>
      <sheetData sheetId="0"/>
      <sheetData sheetId="1"/>
      <sheetData sheetId="2"/>
      <sheetData sheetId="3"/>
      <sheetData sheetId="4"/>
      <sheetData sheetId="5">
        <row r="3">
          <cell r="I3">
            <v>197415.13</v>
          </cell>
        </row>
        <row r="19">
          <cell r="B19">
            <v>32000</v>
          </cell>
          <cell r="C19">
            <v>75248.25</v>
          </cell>
          <cell r="D19">
            <v>16000</v>
          </cell>
          <cell r="E19">
            <v>16000</v>
          </cell>
        </row>
      </sheetData>
      <sheetData sheetId="6">
        <row r="10">
          <cell r="C10">
            <v>32000</v>
          </cell>
          <cell r="N10">
            <v>32000</v>
          </cell>
        </row>
        <row r="11">
          <cell r="C11">
            <v>36000</v>
          </cell>
          <cell r="N11">
            <v>75248.25</v>
          </cell>
        </row>
        <row r="12">
          <cell r="C12">
            <v>32000</v>
          </cell>
          <cell r="N12">
            <v>32000</v>
          </cell>
        </row>
        <row r="14">
          <cell r="C14">
            <v>85051.62</v>
          </cell>
          <cell r="F14">
            <v>21956</v>
          </cell>
        </row>
        <row r="15">
          <cell r="C15">
            <v>50585.91</v>
          </cell>
          <cell r="F15">
            <v>18053</v>
          </cell>
        </row>
        <row r="16">
          <cell r="C16">
            <v>61770</v>
          </cell>
          <cell r="F16">
            <v>22605</v>
          </cell>
        </row>
        <row r="17">
          <cell r="D17">
            <v>53022</v>
          </cell>
          <cell r="E17">
            <v>40904</v>
          </cell>
        </row>
        <row r="32">
          <cell r="N32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V. PY-FY Split"/>
      <sheetName val="SFY21_WIOA_Allocations"/>
      <sheetName val="Pivot_data"/>
      <sheetName val="Prescrub_data"/>
      <sheetName val="LAW_convert"/>
      <sheetName val="IV. PY-FY Split (2)"/>
    </sheetNames>
    <sheetDataSet>
      <sheetData sheetId="0"/>
      <sheetData sheetId="1"/>
      <sheetData sheetId="2"/>
      <sheetData sheetId="3"/>
      <sheetData sheetId="4">
        <row r="2">
          <cell r="A2" t="str">
            <v>LAW</v>
          </cell>
          <cell r="B2" t="str">
            <v>WIOA</v>
          </cell>
        </row>
        <row r="3">
          <cell r="A3" t="str">
            <v>LAW01</v>
          </cell>
          <cell r="B3" t="str">
            <v>Area 1</v>
          </cell>
        </row>
        <row r="4">
          <cell r="A4" t="str">
            <v>LAW03</v>
          </cell>
          <cell r="B4" t="str">
            <v>Area 3</v>
          </cell>
        </row>
        <row r="5">
          <cell r="A5" t="str">
            <v>LAW04</v>
          </cell>
          <cell r="B5" t="str">
            <v>Area 4</v>
          </cell>
        </row>
        <row r="6">
          <cell r="A6" t="str">
            <v>LAW05</v>
          </cell>
          <cell r="B6" t="str">
            <v>Area 5</v>
          </cell>
        </row>
        <row r="7">
          <cell r="A7" t="str">
            <v>LAW06</v>
          </cell>
          <cell r="B7" t="str">
            <v>Area 6</v>
          </cell>
        </row>
        <row r="8">
          <cell r="A8" t="str">
            <v>LAW07</v>
          </cell>
          <cell r="B8" t="str">
            <v>Area 7</v>
          </cell>
        </row>
        <row r="9">
          <cell r="A9" t="str">
            <v>LAW08</v>
          </cell>
          <cell r="B9" t="str">
            <v>Area 8</v>
          </cell>
        </row>
        <row r="10">
          <cell r="A10" t="str">
            <v>LAW09</v>
          </cell>
          <cell r="B10" t="str">
            <v>Area 9</v>
          </cell>
        </row>
        <row r="11">
          <cell r="A11" t="str">
            <v>LAW10</v>
          </cell>
          <cell r="B11" t="str">
            <v>Area 10</v>
          </cell>
        </row>
        <row r="12">
          <cell r="A12" t="str">
            <v>LAW11</v>
          </cell>
          <cell r="B12" t="str">
            <v>Area 11</v>
          </cell>
        </row>
        <row r="13">
          <cell r="A13" t="str">
            <v>LAW12</v>
          </cell>
          <cell r="B13" t="str">
            <v>Area 12</v>
          </cell>
        </row>
        <row r="14">
          <cell r="A14" t="str">
            <v>LAW13</v>
          </cell>
          <cell r="B14" t="str">
            <v>Area 13</v>
          </cell>
        </row>
        <row r="15">
          <cell r="A15" t="str">
            <v>LAW14</v>
          </cell>
          <cell r="B15" t="str">
            <v>Area 14</v>
          </cell>
        </row>
        <row r="16">
          <cell r="A16" t="str">
            <v>LAW15</v>
          </cell>
          <cell r="B16" t="str">
            <v>Area 15</v>
          </cell>
        </row>
        <row r="17">
          <cell r="A17" t="str">
            <v>LAW16</v>
          </cell>
          <cell r="B17" t="str">
            <v>Area 16</v>
          </cell>
        </row>
        <row r="18">
          <cell r="A18" t="str">
            <v>LAW17</v>
          </cell>
          <cell r="B18" t="str">
            <v>Area 17</v>
          </cell>
        </row>
        <row r="19">
          <cell r="A19" t="str">
            <v>LAW18</v>
          </cell>
          <cell r="B19" t="str">
            <v>Area 18</v>
          </cell>
        </row>
        <row r="20">
          <cell r="A20" t="str">
            <v>LAW19</v>
          </cell>
          <cell r="B20" t="str">
            <v>Area 19</v>
          </cell>
        </row>
        <row r="21">
          <cell r="A21" t="str">
            <v>LAW20</v>
          </cell>
          <cell r="B21" t="str">
            <v>Area 2</v>
          </cell>
        </row>
        <row r="22">
          <cell r="A22" t="str">
            <v>LAW21</v>
          </cell>
          <cell r="B22" t="str">
            <v>Area 20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tructions"/>
      <sheetName val="Index"/>
      <sheetName val="CFIS codes"/>
      <sheetName val="Allocation Sheet"/>
      <sheetName val="Draw"/>
      <sheetName val="entry FA"/>
      <sheetName val="Bill List-Formula"/>
      <sheetName val="Expenditure"/>
      <sheetName val="WIOA CCMEP"/>
      <sheetName val="TANF CCMEP"/>
      <sheetName val="Shard or RMSacc"/>
      <sheetName val="Cash on Hand"/>
      <sheetName val="Omni Circ Cont Descrip"/>
      <sheetName val="Prog Inc-Stand In"/>
      <sheetName val="One-Stop"/>
      <sheetName val="entry"/>
      <sheetName val="Federal_CFDA_Report (5)"/>
    </sheetNames>
    <sheetDataSet>
      <sheetData sheetId="0"/>
      <sheetData sheetId="1"/>
      <sheetData sheetId="2"/>
      <sheetData sheetId="3">
        <row r="14">
          <cell r="D14">
            <v>10563</v>
          </cell>
          <cell r="E14">
            <v>49786</v>
          </cell>
        </row>
        <row r="15">
          <cell r="D15">
            <v>9626</v>
          </cell>
          <cell r="E15">
            <v>40960</v>
          </cell>
        </row>
        <row r="16">
          <cell r="D16">
            <v>61770</v>
          </cell>
        </row>
      </sheetData>
      <sheetData sheetId="4"/>
      <sheetData sheetId="5"/>
      <sheetData sheetId="6"/>
      <sheetData sheetId="7">
        <row r="5">
          <cell r="L5">
            <v>87000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Y21_WIOA_Allocations"/>
    </sheetNames>
    <sheetDataSet>
      <sheetData sheetId="0" refreshError="1">
        <row r="14">
          <cell r="C14">
            <v>199943</v>
          </cell>
          <cell r="F14">
            <v>32143</v>
          </cell>
          <cell r="G14">
            <v>160393</v>
          </cell>
          <cell r="I14">
            <v>43753</v>
          </cell>
          <cell r="J14">
            <v>195843</v>
          </cell>
        </row>
        <row r="15">
          <cell r="C15">
            <v>131967</v>
          </cell>
          <cell r="F15">
            <v>21210</v>
          </cell>
          <cell r="G15">
            <v>105839</v>
          </cell>
          <cell r="I15">
            <v>17716</v>
          </cell>
          <cell r="J15">
            <v>79298</v>
          </cell>
        </row>
        <row r="16">
          <cell r="C16">
            <v>125489</v>
          </cell>
          <cell r="F16">
            <v>22004</v>
          </cell>
          <cell r="G16">
            <v>109798</v>
          </cell>
          <cell r="I16">
            <v>20142</v>
          </cell>
          <cell r="J16">
            <v>90161</v>
          </cell>
        </row>
        <row r="17">
          <cell r="C17">
            <v>384362</v>
          </cell>
          <cell r="F17">
            <v>61105</v>
          </cell>
          <cell r="G17">
            <v>304917</v>
          </cell>
          <cell r="I17">
            <v>38331</v>
          </cell>
          <cell r="J17">
            <v>171574</v>
          </cell>
        </row>
        <row r="18">
          <cell r="C18">
            <v>841761</v>
          </cell>
          <cell r="F18">
            <v>136462</v>
          </cell>
          <cell r="G18">
            <v>680947</v>
          </cell>
          <cell r="I18">
            <v>119942</v>
          </cell>
          <cell r="J18">
            <v>536876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-20 MOUbilling"/>
      <sheetName val="19-20 MOUrevN"/>
      <sheetName val="19-20 MOU"/>
      <sheetName val="20-21 MOURevN"/>
      <sheetName val="20-21 MOU"/>
      <sheetName val="17-19 MOU"/>
      <sheetName val="Washington Change"/>
    </sheetNames>
    <sheetDataSet>
      <sheetData sheetId="0"/>
      <sheetData sheetId="1"/>
      <sheetData sheetId="2"/>
      <sheetData sheetId="3"/>
      <sheetData sheetId="4">
        <row r="65">
          <cell r="B65">
            <v>34206.45709430756</v>
          </cell>
          <cell r="C65">
            <v>36703.196202531646</v>
          </cell>
          <cell r="D65">
            <v>12961.493466085874</v>
          </cell>
          <cell r="E65">
            <v>17469.62837837838</v>
          </cell>
        </row>
      </sheetData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tructions"/>
      <sheetName val="Index"/>
      <sheetName val="CFIS codes"/>
      <sheetName val="WIOA CCMEP"/>
      <sheetName val="Allocation Sheet"/>
      <sheetName val="Expenditure"/>
      <sheetName val="Draw"/>
      <sheetName val="Cash on Hand"/>
      <sheetName val="TANF CCMEP"/>
      <sheetName val="Shard or RMSacc"/>
      <sheetName val="Omni Circ Cont Descrip"/>
      <sheetName val="Bill List-Formula"/>
      <sheetName val="Prog Inc-Stand In"/>
      <sheetName val="One-Stop"/>
      <sheetName val="entry"/>
      <sheetName val="entry F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">
          <cell r="C10">
            <v>150085.67000000001</v>
          </cell>
          <cell r="F10">
            <v>-62872.67</v>
          </cell>
          <cell r="N10">
            <v>198280</v>
          </cell>
        </row>
        <row r="11">
          <cell r="C11">
            <v>202268.63</v>
          </cell>
          <cell r="F11">
            <v>-96669.63</v>
          </cell>
          <cell r="N11">
            <v>179031</v>
          </cell>
        </row>
        <row r="12">
          <cell r="C12">
            <v>87984</v>
          </cell>
          <cell r="N12">
            <v>125207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32">
          <cell r="N32">
            <v>16509.86</v>
          </cell>
        </row>
      </sheetData>
      <sheetData sheetId="5">
        <row r="18">
          <cell r="B18">
            <v>111877.56</v>
          </cell>
          <cell r="C18">
            <v>87641.040000000008</v>
          </cell>
          <cell r="D18">
            <v>35550.78</v>
          </cell>
          <cell r="E18">
            <v>27698.289999999997</v>
          </cell>
          <cell r="P18">
            <v>16509.86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tructions"/>
      <sheetName val="Index"/>
      <sheetName val="CFIS codes"/>
      <sheetName val="Allocation Sheet"/>
      <sheetName val="Draw"/>
      <sheetName val="Cash on Hand"/>
      <sheetName val="WIOA CCMEP"/>
      <sheetName val="Expenditure"/>
      <sheetName val="TANF CCMEP"/>
      <sheetName val="Shard or RMSacc"/>
      <sheetName val="Omni Circ Cont Descrip"/>
      <sheetName val="Bill List-Formula"/>
      <sheetName val="Prog Inc-Stand In"/>
      <sheetName val="One-Stop"/>
      <sheetName val="entry"/>
      <sheetName val="entry FA"/>
    </sheetNames>
    <sheetDataSet>
      <sheetData sheetId="0" refreshError="1"/>
      <sheetData sheetId="1" refreshError="1"/>
      <sheetData sheetId="2" refreshError="1"/>
      <sheetData sheetId="3">
        <row r="10">
          <cell r="C10">
            <v>128898.75</v>
          </cell>
          <cell r="F10">
            <v>-7050.01</v>
          </cell>
          <cell r="N10">
            <v>223272.74</v>
          </cell>
        </row>
        <row r="11">
          <cell r="C11">
            <v>114982.55</v>
          </cell>
          <cell r="F11">
            <v>-27984.5</v>
          </cell>
          <cell r="N11">
            <v>218703.05</v>
          </cell>
        </row>
        <row r="12">
          <cell r="C12">
            <v>92573</v>
          </cell>
          <cell r="N12">
            <v>171288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32">
          <cell r="N32">
            <v>13091.55</v>
          </cell>
        </row>
      </sheetData>
      <sheetData sheetId="4" refreshError="1"/>
      <sheetData sheetId="5" refreshError="1"/>
      <sheetData sheetId="6" refreshError="1"/>
      <sheetData sheetId="7">
        <row r="18">
          <cell r="B18">
            <v>161882.02000000002</v>
          </cell>
          <cell r="C18">
            <v>157453.89000000001</v>
          </cell>
          <cell r="D18">
            <v>31097.42</v>
          </cell>
          <cell r="E18">
            <v>38420.019999999997</v>
          </cell>
        </row>
        <row r="22">
          <cell r="P22">
            <v>13091.55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tructions"/>
      <sheetName val="Index"/>
      <sheetName val="CFIS codes"/>
      <sheetName val="Allocation Sheet"/>
      <sheetName val="Draw"/>
      <sheetName val="Expenditure"/>
      <sheetName val="WIOA CCMEP"/>
      <sheetName val="Cash on Hand"/>
      <sheetName val="TANF CCMEP"/>
      <sheetName val="Bill List-Formula"/>
      <sheetName val="Shard or RMSacc"/>
      <sheetName val="Omni Circ Cont Descrip"/>
      <sheetName val="Prog Inc-Stand In"/>
      <sheetName val="One-Stop"/>
      <sheetName val="entry"/>
      <sheetName val="entry FA"/>
    </sheetNames>
    <sheetDataSet>
      <sheetData sheetId="0" refreshError="1"/>
      <sheetData sheetId="1" refreshError="1"/>
      <sheetData sheetId="2" refreshError="1"/>
      <sheetData sheetId="3">
        <row r="10">
          <cell r="C10">
            <v>73580.36</v>
          </cell>
          <cell r="N10">
            <v>196337.36</v>
          </cell>
        </row>
        <row r="11">
          <cell r="C11">
            <v>132310.26999999999</v>
          </cell>
          <cell r="F11">
            <v>-65544.27</v>
          </cell>
          <cell r="N11">
            <v>168003</v>
          </cell>
        </row>
        <row r="12">
          <cell r="C12">
            <v>62512.31</v>
          </cell>
          <cell r="N12">
            <v>236595.31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32">
          <cell r="N32">
            <v>4383.49</v>
          </cell>
        </row>
      </sheetData>
      <sheetData sheetId="4" refreshError="1"/>
      <sheetData sheetId="5">
        <row r="18">
          <cell r="B18">
            <v>124363.7</v>
          </cell>
          <cell r="C18">
            <v>89036.1</v>
          </cell>
          <cell r="D18">
            <v>43971.090000000004</v>
          </cell>
          <cell r="E18">
            <v>128469.76000000002</v>
          </cell>
          <cell r="P18">
            <v>4383.49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tructions"/>
      <sheetName val="Index"/>
      <sheetName val="CFIS codes"/>
      <sheetName val="Allocation Sheet"/>
      <sheetName val="WIOA CCMEP"/>
      <sheetName val="Draw"/>
      <sheetName val="Expenditure"/>
      <sheetName val="Cash on Hand"/>
      <sheetName val="TANF CCMEP"/>
      <sheetName val="Bill List-Formula"/>
      <sheetName val="Shard or RMSacc"/>
      <sheetName val="Omni Circ Cont Descrip"/>
      <sheetName val="Prog Inc-Stand In"/>
      <sheetName val="One-Stop"/>
      <sheetName val="entry"/>
      <sheetName val="entry FA"/>
    </sheetNames>
    <sheetDataSet>
      <sheetData sheetId="0"/>
      <sheetData sheetId="1"/>
      <sheetData sheetId="2"/>
      <sheetData sheetId="3">
        <row r="10">
          <cell r="C10">
            <v>403422.77</v>
          </cell>
          <cell r="F10">
            <v>-109322.56</v>
          </cell>
          <cell r="N10">
            <v>452878.21</v>
          </cell>
        </row>
        <row r="11">
          <cell r="C11">
            <v>292290.71000000002</v>
          </cell>
          <cell r="F11">
            <v>-83823.509999999995</v>
          </cell>
          <cell r="N11">
            <v>269052.95</v>
          </cell>
        </row>
        <row r="12">
          <cell r="C12">
            <v>311471</v>
          </cell>
          <cell r="N12">
            <v>530079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32">
          <cell r="N32">
            <v>24138.69000000001</v>
          </cell>
        </row>
      </sheetData>
      <sheetData sheetId="4"/>
      <sheetData sheetId="5"/>
      <sheetData sheetId="6">
        <row r="18">
          <cell r="B18">
            <v>269326.37</v>
          </cell>
          <cell r="C18">
            <v>40523.800000000003</v>
          </cell>
          <cell r="D18">
            <v>91185.830000000016</v>
          </cell>
          <cell r="E18">
            <v>113520.66</v>
          </cell>
          <cell r="P18">
            <v>24138.69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6DDC14B-9A3C-40A8-A945-6BF1C05F2A44}" name="Table3" displayName="Table3" ref="A3:L9" totalsRowShown="0" headerRowDxfId="12" dataDxfId="11" dataCellStyle="Comma">
  <tableColumns count="12">
    <tableColumn id="1" xr3:uid="{7F663BE4-63F7-4417-8040-7C2EFC44CBA2}" name="Local Area"/>
    <tableColumn id="2" xr3:uid="{0BB09E08-5DD3-4CBE-B14C-C28C24FA83F0}" name="County No." dataDxfId="10"/>
    <tableColumn id="3" xr3:uid="{97F9CBAF-6F46-4FBA-B319-B0A30004A2BC}" name="County" dataDxfId="9"/>
    <tableColumn id="4" xr3:uid="{7FF927EE-8BF7-4AB5-AA7A-73BB20BF4B3B}" name="Adult" dataDxfId="8" dataCellStyle="Comma"/>
    <tableColumn id="5" xr3:uid="{CA772221-7BD0-45BB-9F54-A8D9F8DF6995}" name="Youth " dataDxfId="7" dataCellStyle="Comma"/>
    <tableColumn id="6" xr3:uid="{8DC2F9FE-B9C0-4B72-ABD6-1FCD1C53262E}" name="Dislocated" dataDxfId="6" dataCellStyle="Comma"/>
    <tableColumn id="7" xr3:uid="{3B8CA8EE-EF10-4BB5-BE43-41571F94F2D3}" name="." dataDxfId="5" dataCellStyle="Comma"/>
    <tableColumn id="8" xr3:uid="{0E70F84E-FE8E-4BD1-8561-FCD99A4A30B4}" name="Adult2" dataDxfId="4" dataCellStyle="Comma"/>
    <tableColumn id="9" xr3:uid="{0320B11B-CC7A-47E9-865E-58E66CE4B368}" name="Adult3" dataDxfId="3" dataCellStyle="Comma"/>
    <tableColumn id="10" xr3:uid="{C1FAB35A-D594-4876-AA98-4B0E873BFE5E}" name="," dataDxfId="2" dataCellStyle="Comma"/>
    <tableColumn id="11" xr3:uid="{A90550E1-D098-4535-BDF3-2AB7906E3291}" name="Dis Wkr" dataDxfId="1" dataCellStyle="Comma"/>
    <tableColumn id="12" xr3:uid="{F4D8BA5B-76B5-4C3E-BB8D-FE07A1DDBF17}" name="Dis Wkr5" dataDxfId="0" dataCellStyle="Comma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30984-EA86-4212-A066-A147B561E9B3}">
  <sheetPr>
    <pageSetUpPr fitToPage="1"/>
  </sheetPr>
  <dimension ref="A1:T53"/>
  <sheetViews>
    <sheetView tabSelected="1" zoomScaleNormal="100" zoomScaleSheetLayoutView="75" workbookViewId="0">
      <pane xSplit="1" ySplit="12" topLeftCell="I13" activePane="bottomRight" state="frozen"/>
      <selection pane="topRight" activeCell="B1" sqref="B1"/>
      <selection pane="bottomLeft" activeCell="A4" sqref="A4"/>
      <selection pane="bottomRight" activeCell="O35" sqref="O35"/>
    </sheetView>
  </sheetViews>
  <sheetFormatPr defaultRowHeight="12.75" x14ac:dyDescent="0.2"/>
  <cols>
    <col min="1" max="1" width="33.28515625" customWidth="1"/>
    <col min="2" max="2" width="16.85546875" hidden="1" customWidth="1"/>
    <col min="3" max="3" width="17.140625" hidden="1" customWidth="1"/>
    <col min="4" max="4" width="16" style="101" hidden="1" customWidth="1"/>
    <col min="5" max="5" width="18" hidden="1" customWidth="1"/>
    <col min="6" max="6" width="18" customWidth="1"/>
    <col min="7" max="7" width="6.85546875" customWidth="1"/>
    <col min="8" max="8" width="17.140625" customWidth="1"/>
    <col min="9" max="9" width="19" bestFit="1" customWidth="1"/>
    <col min="10" max="10" width="7.5703125" customWidth="1"/>
    <col min="11" max="11" width="12.7109375" customWidth="1"/>
    <col min="12" max="12" width="3.85546875" customWidth="1"/>
    <col min="13" max="13" width="12.28515625" style="204" bestFit="1" customWidth="1"/>
    <col min="14" max="14" width="6.42578125" customWidth="1"/>
    <col min="15" max="15" width="11.7109375" customWidth="1"/>
    <col min="17" max="17" width="6.42578125" customWidth="1"/>
    <col min="18" max="18" width="9.85546875" customWidth="1"/>
    <col min="19" max="19" width="11.5703125" customWidth="1"/>
    <col min="20" max="20" width="11.28515625" customWidth="1"/>
    <col min="257" max="257" width="33.28515625" customWidth="1"/>
    <col min="258" max="261" width="0" hidden="1" customWidth="1"/>
    <col min="262" max="262" width="18" customWidth="1"/>
    <col min="263" max="263" width="6.85546875" customWidth="1"/>
    <col min="264" max="264" width="17.140625" customWidth="1"/>
    <col min="265" max="265" width="14.28515625" customWidth="1"/>
    <col min="266" max="266" width="7.5703125" customWidth="1"/>
    <col min="267" max="267" width="12.7109375" customWidth="1"/>
    <col min="268" max="268" width="3.85546875" customWidth="1"/>
    <col min="269" max="269" width="13.5703125" bestFit="1" customWidth="1"/>
    <col min="270" max="270" width="6.42578125" customWidth="1"/>
    <col min="271" max="271" width="11.7109375" customWidth="1"/>
    <col min="273" max="273" width="6.42578125" customWidth="1"/>
    <col min="274" max="274" width="9.85546875" customWidth="1"/>
    <col min="275" max="275" width="11.5703125" customWidth="1"/>
    <col min="276" max="276" width="11.28515625" customWidth="1"/>
    <col min="513" max="513" width="33.28515625" customWidth="1"/>
    <col min="514" max="517" width="0" hidden="1" customWidth="1"/>
    <col min="518" max="518" width="18" customWidth="1"/>
    <col min="519" max="519" width="6.85546875" customWidth="1"/>
    <col min="520" max="520" width="17.140625" customWidth="1"/>
    <col min="521" max="521" width="14.28515625" customWidth="1"/>
    <col min="522" max="522" width="7.5703125" customWidth="1"/>
    <col min="523" max="523" width="12.7109375" customWidth="1"/>
    <col min="524" max="524" width="3.85546875" customWidth="1"/>
    <col min="525" max="525" width="13.5703125" bestFit="1" customWidth="1"/>
    <col min="526" max="526" width="6.42578125" customWidth="1"/>
    <col min="527" max="527" width="11.7109375" customWidth="1"/>
    <col min="529" max="529" width="6.42578125" customWidth="1"/>
    <col min="530" max="530" width="9.85546875" customWidth="1"/>
    <col min="531" max="531" width="11.5703125" customWidth="1"/>
    <col min="532" max="532" width="11.28515625" customWidth="1"/>
    <col min="769" max="769" width="33.28515625" customWidth="1"/>
    <col min="770" max="773" width="0" hidden="1" customWidth="1"/>
    <col min="774" max="774" width="18" customWidth="1"/>
    <col min="775" max="775" width="6.85546875" customWidth="1"/>
    <col min="776" max="776" width="17.140625" customWidth="1"/>
    <col min="777" max="777" width="14.28515625" customWidth="1"/>
    <col min="778" max="778" width="7.5703125" customWidth="1"/>
    <col min="779" max="779" width="12.7109375" customWidth="1"/>
    <col min="780" max="780" width="3.85546875" customWidth="1"/>
    <col min="781" max="781" width="13.5703125" bestFit="1" customWidth="1"/>
    <col min="782" max="782" width="6.42578125" customWidth="1"/>
    <col min="783" max="783" width="11.7109375" customWidth="1"/>
    <col min="785" max="785" width="6.42578125" customWidth="1"/>
    <col min="786" max="786" width="9.85546875" customWidth="1"/>
    <col min="787" max="787" width="11.5703125" customWidth="1"/>
    <col min="788" max="788" width="11.28515625" customWidth="1"/>
    <col min="1025" max="1025" width="33.28515625" customWidth="1"/>
    <col min="1026" max="1029" width="0" hidden="1" customWidth="1"/>
    <col min="1030" max="1030" width="18" customWidth="1"/>
    <col min="1031" max="1031" width="6.85546875" customWidth="1"/>
    <col min="1032" max="1032" width="17.140625" customWidth="1"/>
    <col min="1033" max="1033" width="14.28515625" customWidth="1"/>
    <col min="1034" max="1034" width="7.5703125" customWidth="1"/>
    <col min="1035" max="1035" width="12.7109375" customWidth="1"/>
    <col min="1036" max="1036" width="3.85546875" customWidth="1"/>
    <col min="1037" max="1037" width="13.5703125" bestFit="1" customWidth="1"/>
    <col min="1038" max="1038" width="6.42578125" customWidth="1"/>
    <col min="1039" max="1039" width="11.7109375" customWidth="1"/>
    <col min="1041" max="1041" width="6.42578125" customWidth="1"/>
    <col min="1042" max="1042" width="9.85546875" customWidth="1"/>
    <col min="1043" max="1043" width="11.5703125" customWidth="1"/>
    <col min="1044" max="1044" width="11.28515625" customWidth="1"/>
    <col min="1281" max="1281" width="33.28515625" customWidth="1"/>
    <col min="1282" max="1285" width="0" hidden="1" customWidth="1"/>
    <col min="1286" max="1286" width="18" customWidth="1"/>
    <col min="1287" max="1287" width="6.85546875" customWidth="1"/>
    <col min="1288" max="1288" width="17.140625" customWidth="1"/>
    <col min="1289" max="1289" width="14.28515625" customWidth="1"/>
    <col min="1290" max="1290" width="7.5703125" customWidth="1"/>
    <col min="1291" max="1291" width="12.7109375" customWidth="1"/>
    <col min="1292" max="1292" width="3.85546875" customWidth="1"/>
    <col min="1293" max="1293" width="13.5703125" bestFit="1" customWidth="1"/>
    <col min="1294" max="1294" width="6.42578125" customWidth="1"/>
    <col min="1295" max="1295" width="11.7109375" customWidth="1"/>
    <col min="1297" max="1297" width="6.42578125" customWidth="1"/>
    <col min="1298" max="1298" width="9.85546875" customWidth="1"/>
    <col min="1299" max="1299" width="11.5703125" customWidth="1"/>
    <col min="1300" max="1300" width="11.28515625" customWidth="1"/>
    <col min="1537" max="1537" width="33.28515625" customWidth="1"/>
    <col min="1538" max="1541" width="0" hidden="1" customWidth="1"/>
    <col min="1542" max="1542" width="18" customWidth="1"/>
    <col min="1543" max="1543" width="6.85546875" customWidth="1"/>
    <col min="1544" max="1544" width="17.140625" customWidth="1"/>
    <col min="1545" max="1545" width="14.28515625" customWidth="1"/>
    <col min="1546" max="1546" width="7.5703125" customWidth="1"/>
    <col min="1547" max="1547" width="12.7109375" customWidth="1"/>
    <col min="1548" max="1548" width="3.85546875" customWidth="1"/>
    <col min="1549" max="1549" width="13.5703125" bestFit="1" customWidth="1"/>
    <col min="1550" max="1550" width="6.42578125" customWidth="1"/>
    <col min="1551" max="1551" width="11.7109375" customWidth="1"/>
    <col min="1553" max="1553" width="6.42578125" customWidth="1"/>
    <col min="1554" max="1554" width="9.85546875" customWidth="1"/>
    <col min="1555" max="1555" width="11.5703125" customWidth="1"/>
    <col min="1556" max="1556" width="11.28515625" customWidth="1"/>
    <col min="1793" max="1793" width="33.28515625" customWidth="1"/>
    <col min="1794" max="1797" width="0" hidden="1" customWidth="1"/>
    <col min="1798" max="1798" width="18" customWidth="1"/>
    <col min="1799" max="1799" width="6.85546875" customWidth="1"/>
    <col min="1800" max="1800" width="17.140625" customWidth="1"/>
    <col min="1801" max="1801" width="14.28515625" customWidth="1"/>
    <col min="1802" max="1802" width="7.5703125" customWidth="1"/>
    <col min="1803" max="1803" width="12.7109375" customWidth="1"/>
    <col min="1804" max="1804" width="3.85546875" customWidth="1"/>
    <col min="1805" max="1805" width="13.5703125" bestFit="1" customWidth="1"/>
    <col min="1806" max="1806" width="6.42578125" customWidth="1"/>
    <col min="1807" max="1807" width="11.7109375" customWidth="1"/>
    <col min="1809" max="1809" width="6.42578125" customWidth="1"/>
    <col min="1810" max="1810" width="9.85546875" customWidth="1"/>
    <col min="1811" max="1811" width="11.5703125" customWidth="1"/>
    <col min="1812" max="1812" width="11.28515625" customWidth="1"/>
    <col min="2049" max="2049" width="33.28515625" customWidth="1"/>
    <col min="2050" max="2053" width="0" hidden="1" customWidth="1"/>
    <col min="2054" max="2054" width="18" customWidth="1"/>
    <col min="2055" max="2055" width="6.85546875" customWidth="1"/>
    <col min="2056" max="2056" width="17.140625" customWidth="1"/>
    <col min="2057" max="2057" width="14.28515625" customWidth="1"/>
    <col min="2058" max="2058" width="7.5703125" customWidth="1"/>
    <col min="2059" max="2059" width="12.7109375" customWidth="1"/>
    <col min="2060" max="2060" width="3.85546875" customWidth="1"/>
    <col min="2061" max="2061" width="13.5703125" bestFit="1" customWidth="1"/>
    <col min="2062" max="2062" width="6.42578125" customWidth="1"/>
    <col min="2063" max="2063" width="11.7109375" customWidth="1"/>
    <col min="2065" max="2065" width="6.42578125" customWidth="1"/>
    <col min="2066" max="2066" width="9.85546875" customWidth="1"/>
    <col min="2067" max="2067" width="11.5703125" customWidth="1"/>
    <col min="2068" max="2068" width="11.28515625" customWidth="1"/>
    <col min="2305" max="2305" width="33.28515625" customWidth="1"/>
    <col min="2306" max="2309" width="0" hidden="1" customWidth="1"/>
    <col min="2310" max="2310" width="18" customWidth="1"/>
    <col min="2311" max="2311" width="6.85546875" customWidth="1"/>
    <col min="2312" max="2312" width="17.140625" customWidth="1"/>
    <col min="2313" max="2313" width="14.28515625" customWidth="1"/>
    <col min="2314" max="2314" width="7.5703125" customWidth="1"/>
    <col min="2315" max="2315" width="12.7109375" customWidth="1"/>
    <col min="2316" max="2316" width="3.85546875" customWidth="1"/>
    <col min="2317" max="2317" width="13.5703125" bestFit="1" customWidth="1"/>
    <col min="2318" max="2318" width="6.42578125" customWidth="1"/>
    <col min="2319" max="2319" width="11.7109375" customWidth="1"/>
    <col min="2321" max="2321" width="6.42578125" customWidth="1"/>
    <col min="2322" max="2322" width="9.85546875" customWidth="1"/>
    <col min="2323" max="2323" width="11.5703125" customWidth="1"/>
    <col min="2324" max="2324" width="11.28515625" customWidth="1"/>
    <col min="2561" max="2561" width="33.28515625" customWidth="1"/>
    <col min="2562" max="2565" width="0" hidden="1" customWidth="1"/>
    <col min="2566" max="2566" width="18" customWidth="1"/>
    <col min="2567" max="2567" width="6.85546875" customWidth="1"/>
    <col min="2568" max="2568" width="17.140625" customWidth="1"/>
    <col min="2569" max="2569" width="14.28515625" customWidth="1"/>
    <col min="2570" max="2570" width="7.5703125" customWidth="1"/>
    <col min="2571" max="2571" width="12.7109375" customWidth="1"/>
    <col min="2572" max="2572" width="3.85546875" customWidth="1"/>
    <col min="2573" max="2573" width="13.5703125" bestFit="1" customWidth="1"/>
    <col min="2574" max="2574" width="6.42578125" customWidth="1"/>
    <col min="2575" max="2575" width="11.7109375" customWidth="1"/>
    <col min="2577" max="2577" width="6.42578125" customWidth="1"/>
    <col min="2578" max="2578" width="9.85546875" customWidth="1"/>
    <col min="2579" max="2579" width="11.5703125" customWidth="1"/>
    <col min="2580" max="2580" width="11.28515625" customWidth="1"/>
    <col min="2817" max="2817" width="33.28515625" customWidth="1"/>
    <col min="2818" max="2821" width="0" hidden="1" customWidth="1"/>
    <col min="2822" max="2822" width="18" customWidth="1"/>
    <col min="2823" max="2823" width="6.85546875" customWidth="1"/>
    <col min="2824" max="2824" width="17.140625" customWidth="1"/>
    <col min="2825" max="2825" width="14.28515625" customWidth="1"/>
    <col min="2826" max="2826" width="7.5703125" customWidth="1"/>
    <col min="2827" max="2827" width="12.7109375" customWidth="1"/>
    <col min="2828" max="2828" width="3.85546875" customWidth="1"/>
    <col min="2829" max="2829" width="13.5703125" bestFit="1" customWidth="1"/>
    <col min="2830" max="2830" width="6.42578125" customWidth="1"/>
    <col min="2831" max="2831" width="11.7109375" customWidth="1"/>
    <col min="2833" max="2833" width="6.42578125" customWidth="1"/>
    <col min="2834" max="2834" width="9.85546875" customWidth="1"/>
    <col min="2835" max="2835" width="11.5703125" customWidth="1"/>
    <col min="2836" max="2836" width="11.28515625" customWidth="1"/>
    <col min="3073" max="3073" width="33.28515625" customWidth="1"/>
    <col min="3074" max="3077" width="0" hidden="1" customWidth="1"/>
    <col min="3078" max="3078" width="18" customWidth="1"/>
    <col min="3079" max="3079" width="6.85546875" customWidth="1"/>
    <col min="3080" max="3080" width="17.140625" customWidth="1"/>
    <col min="3081" max="3081" width="14.28515625" customWidth="1"/>
    <col min="3082" max="3082" width="7.5703125" customWidth="1"/>
    <col min="3083" max="3083" width="12.7109375" customWidth="1"/>
    <col min="3084" max="3084" width="3.85546875" customWidth="1"/>
    <col min="3085" max="3085" width="13.5703125" bestFit="1" customWidth="1"/>
    <col min="3086" max="3086" width="6.42578125" customWidth="1"/>
    <col min="3087" max="3087" width="11.7109375" customWidth="1"/>
    <col min="3089" max="3089" width="6.42578125" customWidth="1"/>
    <col min="3090" max="3090" width="9.85546875" customWidth="1"/>
    <col min="3091" max="3091" width="11.5703125" customWidth="1"/>
    <col min="3092" max="3092" width="11.28515625" customWidth="1"/>
    <col min="3329" max="3329" width="33.28515625" customWidth="1"/>
    <col min="3330" max="3333" width="0" hidden="1" customWidth="1"/>
    <col min="3334" max="3334" width="18" customWidth="1"/>
    <col min="3335" max="3335" width="6.85546875" customWidth="1"/>
    <col min="3336" max="3336" width="17.140625" customWidth="1"/>
    <col min="3337" max="3337" width="14.28515625" customWidth="1"/>
    <col min="3338" max="3338" width="7.5703125" customWidth="1"/>
    <col min="3339" max="3339" width="12.7109375" customWidth="1"/>
    <col min="3340" max="3340" width="3.85546875" customWidth="1"/>
    <col min="3341" max="3341" width="13.5703125" bestFit="1" customWidth="1"/>
    <col min="3342" max="3342" width="6.42578125" customWidth="1"/>
    <col min="3343" max="3343" width="11.7109375" customWidth="1"/>
    <col min="3345" max="3345" width="6.42578125" customWidth="1"/>
    <col min="3346" max="3346" width="9.85546875" customWidth="1"/>
    <col min="3347" max="3347" width="11.5703125" customWidth="1"/>
    <col min="3348" max="3348" width="11.28515625" customWidth="1"/>
    <col min="3585" max="3585" width="33.28515625" customWidth="1"/>
    <col min="3586" max="3589" width="0" hidden="1" customWidth="1"/>
    <col min="3590" max="3590" width="18" customWidth="1"/>
    <col min="3591" max="3591" width="6.85546875" customWidth="1"/>
    <col min="3592" max="3592" width="17.140625" customWidth="1"/>
    <col min="3593" max="3593" width="14.28515625" customWidth="1"/>
    <col min="3594" max="3594" width="7.5703125" customWidth="1"/>
    <col min="3595" max="3595" width="12.7109375" customWidth="1"/>
    <col min="3596" max="3596" width="3.85546875" customWidth="1"/>
    <col min="3597" max="3597" width="13.5703125" bestFit="1" customWidth="1"/>
    <col min="3598" max="3598" width="6.42578125" customWidth="1"/>
    <col min="3599" max="3599" width="11.7109375" customWidth="1"/>
    <col min="3601" max="3601" width="6.42578125" customWidth="1"/>
    <col min="3602" max="3602" width="9.85546875" customWidth="1"/>
    <col min="3603" max="3603" width="11.5703125" customWidth="1"/>
    <col min="3604" max="3604" width="11.28515625" customWidth="1"/>
    <col min="3841" max="3841" width="33.28515625" customWidth="1"/>
    <col min="3842" max="3845" width="0" hidden="1" customWidth="1"/>
    <col min="3846" max="3846" width="18" customWidth="1"/>
    <col min="3847" max="3847" width="6.85546875" customWidth="1"/>
    <col min="3848" max="3848" width="17.140625" customWidth="1"/>
    <col min="3849" max="3849" width="14.28515625" customWidth="1"/>
    <col min="3850" max="3850" width="7.5703125" customWidth="1"/>
    <col min="3851" max="3851" width="12.7109375" customWidth="1"/>
    <col min="3852" max="3852" width="3.85546875" customWidth="1"/>
    <col min="3853" max="3853" width="13.5703125" bestFit="1" customWidth="1"/>
    <col min="3854" max="3854" width="6.42578125" customWidth="1"/>
    <col min="3855" max="3855" width="11.7109375" customWidth="1"/>
    <col min="3857" max="3857" width="6.42578125" customWidth="1"/>
    <col min="3858" max="3858" width="9.85546875" customWidth="1"/>
    <col min="3859" max="3859" width="11.5703125" customWidth="1"/>
    <col min="3860" max="3860" width="11.28515625" customWidth="1"/>
    <col min="4097" max="4097" width="33.28515625" customWidth="1"/>
    <col min="4098" max="4101" width="0" hidden="1" customWidth="1"/>
    <col min="4102" max="4102" width="18" customWidth="1"/>
    <col min="4103" max="4103" width="6.85546875" customWidth="1"/>
    <col min="4104" max="4104" width="17.140625" customWidth="1"/>
    <col min="4105" max="4105" width="14.28515625" customWidth="1"/>
    <col min="4106" max="4106" width="7.5703125" customWidth="1"/>
    <col min="4107" max="4107" width="12.7109375" customWidth="1"/>
    <col min="4108" max="4108" width="3.85546875" customWidth="1"/>
    <col min="4109" max="4109" width="13.5703125" bestFit="1" customWidth="1"/>
    <col min="4110" max="4110" width="6.42578125" customWidth="1"/>
    <col min="4111" max="4111" width="11.7109375" customWidth="1"/>
    <col min="4113" max="4113" width="6.42578125" customWidth="1"/>
    <col min="4114" max="4114" width="9.85546875" customWidth="1"/>
    <col min="4115" max="4115" width="11.5703125" customWidth="1"/>
    <col min="4116" max="4116" width="11.28515625" customWidth="1"/>
    <col min="4353" max="4353" width="33.28515625" customWidth="1"/>
    <col min="4354" max="4357" width="0" hidden="1" customWidth="1"/>
    <col min="4358" max="4358" width="18" customWidth="1"/>
    <col min="4359" max="4359" width="6.85546875" customWidth="1"/>
    <col min="4360" max="4360" width="17.140625" customWidth="1"/>
    <col min="4361" max="4361" width="14.28515625" customWidth="1"/>
    <col min="4362" max="4362" width="7.5703125" customWidth="1"/>
    <col min="4363" max="4363" width="12.7109375" customWidth="1"/>
    <col min="4364" max="4364" width="3.85546875" customWidth="1"/>
    <col min="4365" max="4365" width="13.5703125" bestFit="1" customWidth="1"/>
    <col min="4366" max="4366" width="6.42578125" customWidth="1"/>
    <col min="4367" max="4367" width="11.7109375" customWidth="1"/>
    <col min="4369" max="4369" width="6.42578125" customWidth="1"/>
    <col min="4370" max="4370" width="9.85546875" customWidth="1"/>
    <col min="4371" max="4371" width="11.5703125" customWidth="1"/>
    <col min="4372" max="4372" width="11.28515625" customWidth="1"/>
    <col min="4609" max="4609" width="33.28515625" customWidth="1"/>
    <col min="4610" max="4613" width="0" hidden="1" customWidth="1"/>
    <col min="4614" max="4614" width="18" customWidth="1"/>
    <col min="4615" max="4615" width="6.85546875" customWidth="1"/>
    <col min="4616" max="4616" width="17.140625" customWidth="1"/>
    <col min="4617" max="4617" width="14.28515625" customWidth="1"/>
    <col min="4618" max="4618" width="7.5703125" customWidth="1"/>
    <col min="4619" max="4619" width="12.7109375" customWidth="1"/>
    <col min="4620" max="4620" width="3.85546875" customWidth="1"/>
    <col min="4621" max="4621" width="13.5703125" bestFit="1" customWidth="1"/>
    <col min="4622" max="4622" width="6.42578125" customWidth="1"/>
    <col min="4623" max="4623" width="11.7109375" customWidth="1"/>
    <col min="4625" max="4625" width="6.42578125" customWidth="1"/>
    <col min="4626" max="4626" width="9.85546875" customWidth="1"/>
    <col min="4627" max="4627" width="11.5703125" customWidth="1"/>
    <col min="4628" max="4628" width="11.28515625" customWidth="1"/>
    <col min="4865" max="4865" width="33.28515625" customWidth="1"/>
    <col min="4866" max="4869" width="0" hidden="1" customWidth="1"/>
    <col min="4870" max="4870" width="18" customWidth="1"/>
    <col min="4871" max="4871" width="6.85546875" customWidth="1"/>
    <col min="4872" max="4872" width="17.140625" customWidth="1"/>
    <col min="4873" max="4873" width="14.28515625" customWidth="1"/>
    <col min="4874" max="4874" width="7.5703125" customWidth="1"/>
    <col min="4875" max="4875" width="12.7109375" customWidth="1"/>
    <col min="4876" max="4876" width="3.85546875" customWidth="1"/>
    <col min="4877" max="4877" width="13.5703125" bestFit="1" customWidth="1"/>
    <col min="4878" max="4878" width="6.42578125" customWidth="1"/>
    <col min="4879" max="4879" width="11.7109375" customWidth="1"/>
    <col min="4881" max="4881" width="6.42578125" customWidth="1"/>
    <col min="4882" max="4882" width="9.85546875" customWidth="1"/>
    <col min="4883" max="4883" width="11.5703125" customWidth="1"/>
    <col min="4884" max="4884" width="11.28515625" customWidth="1"/>
    <col min="5121" max="5121" width="33.28515625" customWidth="1"/>
    <col min="5122" max="5125" width="0" hidden="1" customWidth="1"/>
    <col min="5126" max="5126" width="18" customWidth="1"/>
    <col min="5127" max="5127" width="6.85546875" customWidth="1"/>
    <col min="5128" max="5128" width="17.140625" customWidth="1"/>
    <col min="5129" max="5129" width="14.28515625" customWidth="1"/>
    <col min="5130" max="5130" width="7.5703125" customWidth="1"/>
    <col min="5131" max="5131" width="12.7109375" customWidth="1"/>
    <col min="5132" max="5132" width="3.85546875" customWidth="1"/>
    <col min="5133" max="5133" width="13.5703125" bestFit="1" customWidth="1"/>
    <col min="5134" max="5134" width="6.42578125" customWidth="1"/>
    <col min="5135" max="5135" width="11.7109375" customWidth="1"/>
    <col min="5137" max="5137" width="6.42578125" customWidth="1"/>
    <col min="5138" max="5138" width="9.85546875" customWidth="1"/>
    <col min="5139" max="5139" width="11.5703125" customWidth="1"/>
    <col min="5140" max="5140" width="11.28515625" customWidth="1"/>
    <col min="5377" max="5377" width="33.28515625" customWidth="1"/>
    <col min="5378" max="5381" width="0" hidden="1" customWidth="1"/>
    <col min="5382" max="5382" width="18" customWidth="1"/>
    <col min="5383" max="5383" width="6.85546875" customWidth="1"/>
    <col min="5384" max="5384" width="17.140625" customWidth="1"/>
    <col min="5385" max="5385" width="14.28515625" customWidth="1"/>
    <col min="5386" max="5386" width="7.5703125" customWidth="1"/>
    <col min="5387" max="5387" width="12.7109375" customWidth="1"/>
    <col min="5388" max="5388" width="3.85546875" customWidth="1"/>
    <col min="5389" max="5389" width="13.5703125" bestFit="1" customWidth="1"/>
    <col min="5390" max="5390" width="6.42578125" customWidth="1"/>
    <col min="5391" max="5391" width="11.7109375" customWidth="1"/>
    <col min="5393" max="5393" width="6.42578125" customWidth="1"/>
    <col min="5394" max="5394" width="9.85546875" customWidth="1"/>
    <col min="5395" max="5395" width="11.5703125" customWidth="1"/>
    <col min="5396" max="5396" width="11.28515625" customWidth="1"/>
    <col min="5633" max="5633" width="33.28515625" customWidth="1"/>
    <col min="5634" max="5637" width="0" hidden="1" customWidth="1"/>
    <col min="5638" max="5638" width="18" customWidth="1"/>
    <col min="5639" max="5639" width="6.85546875" customWidth="1"/>
    <col min="5640" max="5640" width="17.140625" customWidth="1"/>
    <col min="5641" max="5641" width="14.28515625" customWidth="1"/>
    <col min="5642" max="5642" width="7.5703125" customWidth="1"/>
    <col min="5643" max="5643" width="12.7109375" customWidth="1"/>
    <col min="5644" max="5644" width="3.85546875" customWidth="1"/>
    <col min="5645" max="5645" width="13.5703125" bestFit="1" customWidth="1"/>
    <col min="5646" max="5646" width="6.42578125" customWidth="1"/>
    <col min="5647" max="5647" width="11.7109375" customWidth="1"/>
    <col min="5649" max="5649" width="6.42578125" customWidth="1"/>
    <col min="5650" max="5650" width="9.85546875" customWidth="1"/>
    <col min="5651" max="5651" width="11.5703125" customWidth="1"/>
    <col min="5652" max="5652" width="11.28515625" customWidth="1"/>
    <col min="5889" max="5889" width="33.28515625" customWidth="1"/>
    <col min="5890" max="5893" width="0" hidden="1" customWidth="1"/>
    <col min="5894" max="5894" width="18" customWidth="1"/>
    <col min="5895" max="5895" width="6.85546875" customWidth="1"/>
    <col min="5896" max="5896" width="17.140625" customWidth="1"/>
    <col min="5897" max="5897" width="14.28515625" customWidth="1"/>
    <col min="5898" max="5898" width="7.5703125" customWidth="1"/>
    <col min="5899" max="5899" width="12.7109375" customWidth="1"/>
    <col min="5900" max="5900" width="3.85546875" customWidth="1"/>
    <col min="5901" max="5901" width="13.5703125" bestFit="1" customWidth="1"/>
    <col min="5902" max="5902" width="6.42578125" customWidth="1"/>
    <col min="5903" max="5903" width="11.7109375" customWidth="1"/>
    <col min="5905" max="5905" width="6.42578125" customWidth="1"/>
    <col min="5906" max="5906" width="9.85546875" customWidth="1"/>
    <col min="5907" max="5907" width="11.5703125" customWidth="1"/>
    <col min="5908" max="5908" width="11.28515625" customWidth="1"/>
    <col min="6145" max="6145" width="33.28515625" customWidth="1"/>
    <col min="6146" max="6149" width="0" hidden="1" customWidth="1"/>
    <col min="6150" max="6150" width="18" customWidth="1"/>
    <col min="6151" max="6151" width="6.85546875" customWidth="1"/>
    <col min="6152" max="6152" width="17.140625" customWidth="1"/>
    <col min="6153" max="6153" width="14.28515625" customWidth="1"/>
    <col min="6154" max="6154" width="7.5703125" customWidth="1"/>
    <col min="6155" max="6155" width="12.7109375" customWidth="1"/>
    <col min="6156" max="6156" width="3.85546875" customWidth="1"/>
    <col min="6157" max="6157" width="13.5703125" bestFit="1" customWidth="1"/>
    <col min="6158" max="6158" width="6.42578125" customWidth="1"/>
    <col min="6159" max="6159" width="11.7109375" customWidth="1"/>
    <col min="6161" max="6161" width="6.42578125" customWidth="1"/>
    <col min="6162" max="6162" width="9.85546875" customWidth="1"/>
    <col min="6163" max="6163" width="11.5703125" customWidth="1"/>
    <col min="6164" max="6164" width="11.28515625" customWidth="1"/>
    <col min="6401" max="6401" width="33.28515625" customWidth="1"/>
    <col min="6402" max="6405" width="0" hidden="1" customWidth="1"/>
    <col min="6406" max="6406" width="18" customWidth="1"/>
    <col min="6407" max="6407" width="6.85546875" customWidth="1"/>
    <col min="6408" max="6408" width="17.140625" customWidth="1"/>
    <col min="6409" max="6409" width="14.28515625" customWidth="1"/>
    <col min="6410" max="6410" width="7.5703125" customWidth="1"/>
    <col min="6411" max="6411" width="12.7109375" customWidth="1"/>
    <col min="6412" max="6412" width="3.85546875" customWidth="1"/>
    <col min="6413" max="6413" width="13.5703125" bestFit="1" customWidth="1"/>
    <col min="6414" max="6414" width="6.42578125" customWidth="1"/>
    <col min="6415" max="6415" width="11.7109375" customWidth="1"/>
    <col min="6417" max="6417" width="6.42578125" customWidth="1"/>
    <col min="6418" max="6418" width="9.85546875" customWidth="1"/>
    <col min="6419" max="6419" width="11.5703125" customWidth="1"/>
    <col min="6420" max="6420" width="11.28515625" customWidth="1"/>
    <col min="6657" max="6657" width="33.28515625" customWidth="1"/>
    <col min="6658" max="6661" width="0" hidden="1" customWidth="1"/>
    <col min="6662" max="6662" width="18" customWidth="1"/>
    <col min="6663" max="6663" width="6.85546875" customWidth="1"/>
    <col min="6664" max="6664" width="17.140625" customWidth="1"/>
    <col min="6665" max="6665" width="14.28515625" customWidth="1"/>
    <col min="6666" max="6666" width="7.5703125" customWidth="1"/>
    <col min="6667" max="6667" width="12.7109375" customWidth="1"/>
    <col min="6668" max="6668" width="3.85546875" customWidth="1"/>
    <col min="6669" max="6669" width="13.5703125" bestFit="1" customWidth="1"/>
    <col min="6670" max="6670" width="6.42578125" customWidth="1"/>
    <col min="6671" max="6671" width="11.7109375" customWidth="1"/>
    <col min="6673" max="6673" width="6.42578125" customWidth="1"/>
    <col min="6674" max="6674" width="9.85546875" customWidth="1"/>
    <col min="6675" max="6675" width="11.5703125" customWidth="1"/>
    <col min="6676" max="6676" width="11.28515625" customWidth="1"/>
    <col min="6913" max="6913" width="33.28515625" customWidth="1"/>
    <col min="6914" max="6917" width="0" hidden="1" customWidth="1"/>
    <col min="6918" max="6918" width="18" customWidth="1"/>
    <col min="6919" max="6919" width="6.85546875" customWidth="1"/>
    <col min="6920" max="6920" width="17.140625" customWidth="1"/>
    <col min="6921" max="6921" width="14.28515625" customWidth="1"/>
    <col min="6922" max="6922" width="7.5703125" customWidth="1"/>
    <col min="6923" max="6923" width="12.7109375" customWidth="1"/>
    <col min="6924" max="6924" width="3.85546875" customWidth="1"/>
    <col min="6925" max="6925" width="13.5703125" bestFit="1" customWidth="1"/>
    <col min="6926" max="6926" width="6.42578125" customWidth="1"/>
    <col min="6927" max="6927" width="11.7109375" customWidth="1"/>
    <col min="6929" max="6929" width="6.42578125" customWidth="1"/>
    <col min="6930" max="6930" width="9.85546875" customWidth="1"/>
    <col min="6931" max="6931" width="11.5703125" customWidth="1"/>
    <col min="6932" max="6932" width="11.28515625" customWidth="1"/>
    <col min="7169" max="7169" width="33.28515625" customWidth="1"/>
    <col min="7170" max="7173" width="0" hidden="1" customWidth="1"/>
    <col min="7174" max="7174" width="18" customWidth="1"/>
    <col min="7175" max="7175" width="6.85546875" customWidth="1"/>
    <col min="7176" max="7176" width="17.140625" customWidth="1"/>
    <col min="7177" max="7177" width="14.28515625" customWidth="1"/>
    <col min="7178" max="7178" width="7.5703125" customWidth="1"/>
    <col min="7179" max="7179" width="12.7109375" customWidth="1"/>
    <col min="7180" max="7180" width="3.85546875" customWidth="1"/>
    <col min="7181" max="7181" width="13.5703125" bestFit="1" customWidth="1"/>
    <col min="7182" max="7182" width="6.42578125" customWidth="1"/>
    <col min="7183" max="7183" width="11.7109375" customWidth="1"/>
    <col min="7185" max="7185" width="6.42578125" customWidth="1"/>
    <col min="7186" max="7186" width="9.85546875" customWidth="1"/>
    <col min="7187" max="7187" width="11.5703125" customWidth="1"/>
    <col min="7188" max="7188" width="11.28515625" customWidth="1"/>
    <col min="7425" max="7425" width="33.28515625" customWidth="1"/>
    <col min="7426" max="7429" width="0" hidden="1" customWidth="1"/>
    <col min="7430" max="7430" width="18" customWidth="1"/>
    <col min="7431" max="7431" width="6.85546875" customWidth="1"/>
    <col min="7432" max="7432" width="17.140625" customWidth="1"/>
    <col min="7433" max="7433" width="14.28515625" customWidth="1"/>
    <col min="7434" max="7434" width="7.5703125" customWidth="1"/>
    <col min="7435" max="7435" width="12.7109375" customWidth="1"/>
    <col min="7436" max="7436" width="3.85546875" customWidth="1"/>
    <col min="7437" max="7437" width="13.5703125" bestFit="1" customWidth="1"/>
    <col min="7438" max="7438" width="6.42578125" customWidth="1"/>
    <col min="7439" max="7439" width="11.7109375" customWidth="1"/>
    <col min="7441" max="7441" width="6.42578125" customWidth="1"/>
    <col min="7442" max="7442" width="9.85546875" customWidth="1"/>
    <col min="7443" max="7443" width="11.5703125" customWidth="1"/>
    <col min="7444" max="7444" width="11.28515625" customWidth="1"/>
    <col min="7681" max="7681" width="33.28515625" customWidth="1"/>
    <col min="7682" max="7685" width="0" hidden="1" customWidth="1"/>
    <col min="7686" max="7686" width="18" customWidth="1"/>
    <col min="7687" max="7687" width="6.85546875" customWidth="1"/>
    <col min="7688" max="7688" width="17.140625" customWidth="1"/>
    <col min="7689" max="7689" width="14.28515625" customWidth="1"/>
    <col min="7690" max="7690" width="7.5703125" customWidth="1"/>
    <col min="7691" max="7691" width="12.7109375" customWidth="1"/>
    <col min="7692" max="7692" width="3.85546875" customWidth="1"/>
    <col min="7693" max="7693" width="13.5703125" bestFit="1" customWidth="1"/>
    <col min="7694" max="7694" width="6.42578125" customWidth="1"/>
    <col min="7695" max="7695" width="11.7109375" customWidth="1"/>
    <col min="7697" max="7697" width="6.42578125" customWidth="1"/>
    <col min="7698" max="7698" width="9.85546875" customWidth="1"/>
    <col min="7699" max="7699" width="11.5703125" customWidth="1"/>
    <col min="7700" max="7700" width="11.28515625" customWidth="1"/>
    <col min="7937" max="7937" width="33.28515625" customWidth="1"/>
    <col min="7938" max="7941" width="0" hidden="1" customWidth="1"/>
    <col min="7942" max="7942" width="18" customWidth="1"/>
    <col min="7943" max="7943" width="6.85546875" customWidth="1"/>
    <col min="7944" max="7944" width="17.140625" customWidth="1"/>
    <col min="7945" max="7945" width="14.28515625" customWidth="1"/>
    <col min="7946" max="7946" width="7.5703125" customWidth="1"/>
    <col min="7947" max="7947" width="12.7109375" customWidth="1"/>
    <col min="7948" max="7948" width="3.85546875" customWidth="1"/>
    <col min="7949" max="7949" width="13.5703125" bestFit="1" customWidth="1"/>
    <col min="7950" max="7950" width="6.42578125" customWidth="1"/>
    <col min="7951" max="7951" width="11.7109375" customWidth="1"/>
    <col min="7953" max="7953" width="6.42578125" customWidth="1"/>
    <col min="7954" max="7954" width="9.85546875" customWidth="1"/>
    <col min="7955" max="7955" width="11.5703125" customWidth="1"/>
    <col min="7956" max="7956" width="11.28515625" customWidth="1"/>
    <col min="8193" max="8193" width="33.28515625" customWidth="1"/>
    <col min="8194" max="8197" width="0" hidden="1" customWidth="1"/>
    <col min="8198" max="8198" width="18" customWidth="1"/>
    <col min="8199" max="8199" width="6.85546875" customWidth="1"/>
    <col min="8200" max="8200" width="17.140625" customWidth="1"/>
    <col min="8201" max="8201" width="14.28515625" customWidth="1"/>
    <col min="8202" max="8202" width="7.5703125" customWidth="1"/>
    <col min="8203" max="8203" width="12.7109375" customWidth="1"/>
    <col min="8204" max="8204" width="3.85546875" customWidth="1"/>
    <col min="8205" max="8205" width="13.5703125" bestFit="1" customWidth="1"/>
    <col min="8206" max="8206" width="6.42578125" customWidth="1"/>
    <col min="8207" max="8207" width="11.7109375" customWidth="1"/>
    <col min="8209" max="8209" width="6.42578125" customWidth="1"/>
    <col min="8210" max="8210" width="9.85546875" customWidth="1"/>
    <col min="8211" max="8211" width="11.5703125" customWidth="1"/>
    <col min="8212" max="8212" width="11.28515625" customWidth="1"/>
    <col min="8449" max="8449" width="33.28515625" customWidth="1"/>
    <col min="8450" max="8453" width="0" hidden="1" customWidth="1"/>
    <col min="8454" max="8454" width="18" customWidth="1"/>
    <col min="8455" max="8455" width="6.85546875" customWidth="1"/>
    <col min="8456" max="8456" width="17.140625" customWidth="1"/>
    <col min="8457" max="8457" width="14.28515625" customWidth="1"/>
    <col min="8458" max="8458" width="7.5703125" customWidth="1"/>
    <col min="8459" max="8459" width="12.7109375" customWidth="1"/>
    <col min="8460" max="8460" width="3.85546875" customWidth="1"/>
    <col min="8461" max="8461" width="13.5703125" bestFit="1" customWidth="1"/>
    <col min="8462" max="8462" width="6.42578125" customWidth="1"/>
    <col min="8463" max="8463" width="11.7109375" customWidth="1"/>
    <col min="8465" max="8465" width="6.42578125" customWidth="1"/>
    <col min="8466" max="8466" width="9.85546875" customWidth="1"/>
    <col min="8467" max="8467" width="11.5703125" customWidth="1"/>
    <col min="8468" max="8468" width="11.28515625" customWidth="1"/>
    <col min="8705" max="8705" width="33.28515625" customWidth="1"/>
    <col min="8706" max="8709" width="0" hidden="1" customWidth="1"/>
    <col min="8710" max="8710" width="18" customWidth="1"/>
    <col min="8711" max="8711" width="6.85546875" customWidth="1"/>
    <col min="8712" max="8712" width="17.140625" customWidth="1"/>
    <col min="8713" max="8713" width="14.28515625" customWidth="1"/>
    <col min="8714" max="8714" width="7.5703125" customWidth="1"/>
    <col min="8715" max="8715" width="12.7109375" customWidth="1"/>
    <col min="8716" max="8716" width="3.85546875" customWidth="1"/>
    <col min="8717" max="8717" width="13.5703125" bestFit="1" customWidth="1"/>
    <col min="8718" max="8718" width="6.42578125" customWidth="1"/>
    <col min="8719" max="8719" width="11.7109375" customWidth="1"/>
    <col min="8721" max="8721" width="6.42578125" customWidth="1"/>
    <col min="8722" max="8722" width="9.85546875" customWidth="1"/>
    <col min="8723" max="8723" width="11.5703125" customWidth="1"/>
    <col min="8724" max="8724" width="11.28515625" customWidth="1"/>
    <col min="8961" max="8961" width="33.28515625" customWidth="1"/>
    <col min="8962" max="8965" width="0" hidden="1" customWidth="1"/>
    <col min="8966" max="8966" width="18" customWidth="1"/>
    <col min="8967" max="8967" width="6.85546875" customWidth="1"/>
    <col min="8968" max="8968" width="17.140625" customWidth="1"/>
    <col min="8969" max="8969" width="14.28515625" customWidth="1"/>
    <col min="8970" max="8970" width="7.5703125" customWidth="1"/>
    <col min="8971" max="8971" width="12.7109375" customWidth="1"/>
    <col min="8972" max="8972" width="3.85546875" customWidth="1"/>
    <col min="8973" max="8973" width="13.5703125" bestFit="1" customWidth="1"/>
    <col min="8974" max="8974" width="6.42578125" customWidth="1"/>
    <col min="8975" max="8975" width="11.7109375" customWidth="1"/>
    <col min="8977" max="8977" width="6.42578125" customWidth="1"/>
    <col min="8978" max="8978" width="9.85546875" customWidth="1"/>
    <col min="8979" max="8979" width="11.5703125" customWidth="1"/>
    <col min="8980" max="8980" width="11.28515625" customWidth="1"/>
    <col min="9217" max="9217" width="33.28515625" customWidth="1"/>
    <col min="9218" max="9221" width="0" hidden="1" customWidth="1"/>
    <col min="9222" max="9222" width="18" customWidth="1"/>
    <col min="9223" max="9223" width="6.85546875" customWidth="1"/>
    <col min="9224" max="9224" width="17.140625" customWidth="1"/>
    <col min="9225" max="9225" width="14.28515625" customWidth="1"/>
    <col min="9226" max="9226" width="7.5703125" customWidth="1"/>
    <col min="9227" max="9227" width="12.7109375" customWidth="1"/>
    <col min="9228" max="9228" width="3.85546875" customWidth="1"/>
    <col min="9229" max="9229" width="13.5703125" bestFit="1" customWidth="1"/>
    <col min="9230" max="9230" width="6.42578125" customWidth="1"/>
    <col min="9231" max="9231" width="11.7109375" customWidth="1"/>
    <col min="9233" max="9233" width="6.42578125" customWidth="1"/>
    <col min="9234" max="9234" width="9.85546875" customWidth="1"/>
    <col min="9235" max="9235" width="11.5703125" customWidth="1"/>
    <col min="9236" max="9236" width="11.28515625" customWidth="1"/>
    <col min="9473" max="9473" width="33.28515625" customWidth="1"/>
    <col min="9474" max="9477" width="0" hidden="1" customWidth="1"/>
    <col min="9478" max="9478" width="18" customWidth="1"/>
    <col min="9479" max="9479" width="6.85546875" customWidth="1"/>
    <col min="9480" max="9480" width="17.140625" customWidth="1"/>
    <col min="9481" max="9481" width="14.28515625" customWidth="1"/>
    <col min="9482" max="9482" width="7.5703125" customWidth="1"/>
    <col min="9483" max="9483" width="12.7109375" customWidth="1"/>
    <col min="9484" max="9484" width="3.85546875" customWidth="1"/>
    <col min="9485" max="9485" width="13.5703125" bestFit="1" customWidth="1"/>
    <col min="9486" max="9486" width="6.42578125" customWidth="1"/>
    <col min="9487" max="9487" width="11.7109375" customWidth="1"/>
    <col min="9489" max="9489" width="6.42578125" customWidth="1"/>
    <col min="9490" max="9490" width="9.85546875" customWidth="1"/>
    <col min="9491" max="9491" width="11.5703125" customWidth="1"/>
    <col min="9492" max="9492" width="11.28515625" customWidth="1"/>
    <col min="9729" max="9729" width="33.28515625" customWidth="1"/>
    <col min="9730" max="9733" width="0" hidden="1" customWidth="1"/>
    <col min="9734" max="9734" width="18" customWidth="1"/>
    <col min="9735" max="9735" width="6.85546875" customWidth="1"/>
    <col min="9736" max="9736" width="17.140625" customWidth="1"/>
    <col min="9737" max="9737" width="14.28515625" customWidth="1"/>
    <col min="9738" max="9738" width="7.5703125" customWidth="1"/>
    <col min="9739" max="9739" width="12.7109375" customWidth="1"/>
    <col min="9740" max="9740" width="3.85546875" customWidth="1"/>
    <col min="9741" max="9741" width="13.5703125" bestFit="1" customWidth="1"/>
    <col min="9742" max="9742" width="6.42578125" customWidth="1"/>
    <col min="9743" max="9743" width="11.7109375" customWidth="1"/>
    <col min="9745" max="9745" width="6.42578125" customWidth="1"/>
    <col min="9746" max="9746" width="9.85546875" customWidth="1"/>
    <col min="9747" max="9747" width="11.5703125" customWidth="1"/>
    <col min="9748" max="9748" width="11.28515625" customWidth="1"/>
    <col min="9985" max="9985" width="33.28515625" customWidth="1"/>
    <col min="9986" max="9989" width="0" hidden="1" customWidth="1"/>
    <col min="9990" max="9990" width="18" customWidth="1"/>
    <col min="9991" max="9991" width="6.85546875" customWidth="1"/>
    <col min="9992" max="9992" width="17.140625" customWidth="1"/>
    <col min="9993" max="9993" width="14.28515625" customWidth="1"/>
    <col min="9994" max="9994" width="7.5703125" customWidth="1"/>
    <col min="9995" max="9995" width="12.7109375" customWidth="1"/>
    <col min="9996" max="9996" width="3.85546875" customWidth="1"/>
    <col min="9997" max="9997" width="13.5703125" bestFit="1" customWidth="1"/>
    <col min="9998" max="9998" width="6.42578125" customWidth="1"/>
    <col min="9999" max="9999" width="11.7109375" customWidth="1"/>
    <col min="10001" max="10001" width="6.42578125" customWidth="1"/>
    <col min="10002" max="10002" width="9.85546875" customWidth="1"/>
    <col min="10003" max="10003" width="11.5703125" customWidth="1"/>
    <col min="10004" max="10004" width="11.28515625" customWidth="1"/>
    <col min="10241" max="10241" width="33.28515625" customWidth="1"/>
    <col min="10242" max="10245" width="0" hidden="1" customWidth="1"/>
    <col min="10246" max="10246" width="18" customWidth="1"/>
    <col min="10247" max="10247" width="6.85546875" customWidth="1"/>
    <col min="10248" max="10248" width="17.140625" customWidth="1"/>
    <col min="10249" max="10249" width="14.28515625" customWidth="1"/>
    <col min="10250" max="10250" width="7.5703125" customWidth="1"/>
    <col min="10251" max="10251" width="12.7109375" customWidth="1"/>
    <col min="10252" max="10252" width="3.85546875" customWidth="1"/>
    <col min="10253" max="10253" width="13.5703125" bestFit="1" customWidth="1"/>
    <col min="10254" max="10254" width="6.42578125" customWidth="1"/>
    <col min="10255" max="10255" width="11.7109375" customWidth="1"/>
    <col min="10257" max="10257" width="6.42578125" customWidth="1"/>
    <col min="10258" max="10258" width="9.85546875" customWidth="1"/>
    <col min="10259" max="10259" width="11.5703125" customWidth="1"/>
    <col min="10260" max="10260" width="11.28515625" customWidth="1"/>
    <col min="10497" max="10497" width="33.28515625" customWidth="1"/>
    <col min="10498" max="10501" width="0" hidden="1" customWidth="1"/>
    <col min="10502" max="10502" width="18" customWidth="1"/>
    <col min="10503" max="10503" width="6.85546875" customWidth="1"/>
    <col min="10504" max="10504" width="17.140625" customWidth="1"/>
    <col min="10505" max="10505" width="14.28515625" customWidth="1"/>
    <col min="10506" max="10506" width="7.5703125" customWidth="1"/>
    <col min="10507" max="10507" width="12.7109375" customWidth="1"/>
    <col min="10508" max="10508" width="3.85546875" customWidth="1"/>
    <col min="10509" max="10509" width="13.5703125" bestFit="1" customWidth="1"/>
    <col min="10510" max="10510" width="6.42578125" customWidth="1"/>
    <col min="10511" max="10511" width="11.7109375" customWidth="1"/>
    <col min="10513" max="10513" width="6.42578125" customWidth="1"/>
    <col min="10514" max="10514" width="9.85546875" customWidth="1"/>
    <col min="10515" max="10515" width="11.5703125" customWidth="1"/>
    <col min="10516" max="10516" width="11.28515625" customWidth="1"/>
    <col min="10753" max="10753" width="33.28515625" customWidth="1"/>
    <col min="10754" max="10757" width="0" hidden="1" customWidth="1"/>
    <col min="10758" max="10758" width="18" customWidth="1"/>
    <col min="10759" max="10759" width="6.85546875" customWidth="1"/>
    <col min="10760" max="10760" width="17.140625" customWidth="1"/>
    <col min="10761" max="10761" width="14.28515625" customWidth="1"/>
    <col min="10762" max="10762" width="7.5703125" customWidth="1"/>
    <col min="10763" max="10763" width="12.7109375" customWidth="1"/>
    <col min="10764" max="10764" width="3.85546875" customWidth="1"/>
    <col min="10765" max="10765" width="13.5703125" bestFit="1" customWidth="1"/>
    <col min="10766" max="10766" width="6.42578125" customWidth="1"/>
    <col min="10767" max="10767" width="11.7109375" customWidth="1"/>
    <col min="10769" max="10769" width="6.42578125" customWidth="1"/>
    <col min="10770" max="10770" width="9.85546875" customWidth="1"/>
    <col min="10771" max="10771" width="11.5703125" customWidth="1"/>
    <col min="10772" max="10772" width="11.28515625" customWidth="1"/>
    <col min="11009" max="11009" width="33.28515625" customWidth="1"/>
    <col min="11010" max="11013" width="0" hidden="1" customWidth="1"/>
    <col min="11014" max="11014" width="18" customWidth="1"/>
    <col min="11015" max="11015" width="6.85546875" customWidth="1"/>
    <col min="11016" max="11016" width="17.140625" customWidth="1"/>
    <col min="11017" max="11017" width="14.28515625" customWidth="1"/>
    <col min="11018" max="11018" width="7.5703125" customWidth="1"/>
    <col min="11019" max="11019" width="12.7109375" customWidth="1"/>
    <col min="11020" max="11020" width="3.85546875" customWidth="1"/>
    <col min="11021" max="11021" width="13.5703125" bestFit="1" customWidth="1"/>
    <col min="11022" max="11022" width="6.42578125" customWidth="1"/>
    <col min="11023" max="11023" width="11.7109375" customWidth="1"/>
    <col min="11025" max="11025" width="6.42578125" customWidth="1"/>
    <col min="11026" max="11026" width="9.85546875" customWidth="1"/>
    <col min="11027" max="11027" width="11.5703125" customWidth="1"/>
    <col min="11028" max="11028" width="11.28515625" customWidth="1"/>
    <col min="11265" max="11265" width="33.28515625" customWidth="1"/>
    <col min="11266" max="11269" width="0" hidden="1" customWidth="1"/>
    <col min="11270" max="11270" width="18" customWidth="1"/>
    <col min="11271" max="11271" width="6.85546875" customWidth="1"/>
    <col min="11272" max="11272" width="17.140625" customWidth="1"/>
    <col min="11273" max="11273" width="14.28515625" customWidth="1"/>
    <col min="11274" max="11274" width="7.5703125" customWidth="1"/>
    <col min="11275" max="11275" width="12.7109375" customWidth="1"/>
    <col min="11276" max="11276" width="3.85546875" customWidth="1"/>
    <col min="11277" max="11277" width="13.5703125" bestFit="1" customWidth="1"/>
    <col min="11278" max="11278" width="6.42578125" customWidth="1"/>
    <col min="11279" max="11279" width="11.7109375" customWidth="1"/>
    <col min="11281" max="11281" width="6.42578125" customWidth="1"/>
    <col min="11282" max="11282" width="9.85546875" customWidth="1"/>
    <col min="11283" max="11283" width="11.5703125" customWidth="1"/>
    <col min="11284" max="11284" width="11.28515625" customWidth="1"/>
    <col min="11521" max="11521" width="33.28515625" customWidth="1"/>
    <col min="11522" max="11525" width="0" hidden="1" customWidth="1"/>
    <col min="11526" max="11526" width="18" customWidth="1"/>
    <col min="11527" max="11527" width="6.85546875" customWidth="1"/>
    <col min="11528" max="11528" width="17.140625" customWidth="1"/>
    <col min="11529" max="11529" width="14.28515625" customWidth="1"/>
    <col min="11530" max="11530" width="7.5703125" customWidth="1"/>
    <col min="11531" max="11531" width="12.7109375" customWidth="1"/>
    <col min="11532" max="11532" width="3.85546875" customWidth="1"/>
    <col min="11533" max="11533" width="13.5703125" bestFit="1" customWidth="1"/>
    <col min="11534" max="11534" width="6.42578125" customWidth="1"/>
    <col min="11535" max="11535" width="11.7109375" customWidth="1"/>
    <col min="11537" max="11537" width="6.42578125" customWidth="1"/>
    <col min="11538" max="11538" width="9.85546875" customWidth="1"/>
    <col min="11539" max="11539" width="11.5703125" customWidth="1"/>
    <col min="11540" max="11540" width="11.28515625" customWidth="1"/>
    <col min="11777" max="11777" width="33.28515625" customWidth="1"/>
    <col min="11778" max="11781" width="0" hidden="1" customWidth="1"/>
    <col min="11782" max="11782" width="18" customWidth="1"/>
    <col min="11783" max="11783" width="6.85546875" customWidth="1"/>
    <col min="11784" max="11784" width="17.140625" customWidth="1"/>
    <col min="11785" max="11785" width="14.28515625" customWidth="1"/>
    <col min="11786" max="11786" width="7.5703125" customWidth="1"/>
    <col min="11787" max="11787" width="12.7109375" customWidth="1"/>
    <col min="11788" max="11788" width="3.85546875" customWidth="1"/>
    <col min="11789" max="11789" width="13.5703125" bestFit="1" customWidth="1"/>
    <col min="11790" max="11790" width="6.42578125" customWidth="1"/>
    <col min="11791" max="11791" width="11.7109375" customWidth="1"/>
    <col min="11793" max="11793" width="6.42578125" customWidth="1"/>
    <col min="11794" max="11794" width="9.85546875" customWidth="1"/>
    <col min="11795" max="11795" width="11.5703125" customWidth="1"/>
    <col min="11796" max="11796" width="11.28515625" customWidth="1"/>
    <col min="12033" max="12033" width="33.28515625" customWidth="1"/>
    <col min="12034" max="12037" width="0" hidden="1" customWidth="1"/>
    <col min="12038" max="12038" width="18" customWidth="1"/>
    <col min="12039" max="12039" width="6.85546875" customWidth="1"/>
    <col min="12040" max="12040" width="17.140625" customWidth="1"/>
    <col min="12041" max="12041" width="14.28515625" customWidth="1"/>
    <col min="12042" max="12042" width="7.5703125" customWidth="1"/>
    <col min="12043" max="12043" width="12.7109375" customWidth="1"/>
    <col min="12044" max="12044" width="3.85546875" customWidth="1"/>
    <col min="12045" max="12045" width="13.5703125" bestFit="1" customWidth="1"/>
    <col min="12046" max="12046" width="6.42578125" customWidth="1"/>
    <col min="12047" max="12047" width="11.7109375" customWidth="1"/>
    <col min="12049" max="12049" width="6.42578125" customWidth="1"/>
    <col min="12050" max="12050" width="9.85546875" customWidth="1"/>
    <col min="12051" max="12051" width="11.5703125" customWidth="1"/>
    <col min="12052" max="12052" width="11.28515625" customWidth="1"/>
    <col min="12289" max="12289" width="33.28515625" customWidth="1"/>
    <col min="12290" max="12293" width="0" hidden="1" customWidth="1"/>
    <col min="12294" max="12294" width="18" customWidth="1"/>
    <col min="12295" max="12295" width="6.85546875" customWidth="1"/>
    <col min="12296" max="12296" width="17.140625" customWidth="1"/>
    <col min="12297" max="12297" width="14.28515625" customWidth="1"/>
    <col min="12298" max="12298" width="7.5703125" customWidth="1"/>
    <col min="12299" max="12299" width="12.7109375" customWidth="1"/>
    <col min="12300" max="12300" width="3.85546875" customWidth="1"/>
    <col min="12301" max="12301" width="13.5703125" bestFit="1" customWidth="1"/>
    <col min="12302" max="12302" width="6.42578125" customWidth="1"/>
    <col min="12303" max="12303" width="11.7109375" customWidth="1"/>
    <col min="12305" max="12305" width="6.42578125" customWidth="1"/>
    <col min="12306" max="12306" width="9.85546875" customWidth="1"/>
    <col min="12307" max="12307" width="11.5703125" customWidth="1"/>
    <col min="12308" max="12308" width="11.28515625" customWidth="1"/>
    <col min="12545" max="12545" width="33.28515625" customWidth="1"/>
    <col min="12546" max="12549" width="0" hidden="1" customWidth="1"/>
    <col min="12550" max="12550" width="18" customWidth="1"/>
    <col min="12551" max="12551" width="6.85546875" customWidth="1"/>
    <col min="12552" max="12552" width="17.140625" customWidth="1"/>
    <col min="12553" max="12553" width="14.28515625" customWidth="1"/>
    <col min="12554" max="12554" width="7.5703125" customWidth="1"/>
    <col min="12555" max="12555" width="12.7109375" customWidth="1"/>
    <col min="12556" max="12556" width="3.85546875" customWidth="1"/>
    <col min="12557" max="12557" width="13.5703125" bestFit="1" customWidth="1"/>
    <col min="12558" max="12558" width="6.42578125" customWidth="1"/>
    <col min="12559" max="12559" width="11.7109375" customWidth="1"/>
    <col min="12561" max="12561" width="6.42578125" customWidth="1"/>
    <col min="12562" max="12562" width="9.85546875" customWidth="1"/>
    <col min="12563" max="12563" width="11.5703125" customWidth="1"/>
    <col min="12564" max="12564" width="11.28515625" customWidth="1"/>
    <col min="12801" max="12801" width="33.28515625" customWidth="1"/>
    <col min="12802" max="12805" width="0" hidden="1" customWidth="1"/>
    <col min="12806" max="12806" width="18" customWidth="1"/>
    <col min="12807" max="12807" width="6.85546875" customWidth="1"/>
    <col min="12808" max="12808" width="17.140625" customWidth="1"/>
    <col min="12809" max="12809" width="14.28515625" customWidth="1"/>
    <col min="12810" max="12810" width="7.5703125" customWidth="1"/>
    <col min="12811" max="12811" width="12.7109375" customWidth="1"/>
    <col min="12812" max="12812" width="3.85546875" customWidth="1"/>
    <col min="12813" max="12813" width="13.5703125" bestFit="1" customWidth="1"/>
    <col min="12814" max="12814" width="6.42578125" customWidth="1"/>
    <col min="12815" max="12815" width="11.7109375" customWidth="1"/>
    <col min="12817" max="12817" width="6.42578125" customWidth="1"/>
    <col min="12818" max="12818" width="9.85546875" customWidth="1"/>
    <col min="12819" max="12819" width="11.5703125" customWidth="1"/>
    <col min="12820" max="12820" width="11.28515625" customWidth="1"/>
    <col min="13057" max="13057" width="33.28515625" customWidth="1"/>
    <col min="13058" max="13061" width="0" hidden="1" customWidth="1"/>
    <col min="13062" max="13062" width="18" customWidth="1"/>
    <col min="13063" max="13063" width="6.85546875" customWidth="1"/>
    <col min="13064" max="13064" width="17.140625" customWidth="1"/>
    <col min="13065" max="13065" width="14.28515625" customWidth="1"/>
    <col min="13066" max="13066" width="7.5703125" customWidth="1"/>
    <col min="13067" max="13067" width="12.7109375" customWidth="1"/>
    <col min="13068" max="13068" width="3.85546875" customWidth="1"/>
    <col min="13069" max="13069" width="13.5703125" bestFit="1" customWidth="1"/>
    <col min="13070" max="13070" width="6.42578125" customWidth="1"/>
    <col min="13071" max="13071" width="11.7109375" customWidth="1"/>
    <col min="13073" max="13073" width="6.42578125" customWidth="1"/>
    <col min="13074" max="13074" width="9.85546875" customWidth="1"/>
    <col min="13075" max="13075" width="11.5703125" customWidth="1"/>
    <col min="13076" max="13076" width="11.28515625" customWidth="1"/>
    <col min="13313" max="13313" width="33.28515625" customWidth="1"/>
    <col min="13314" max="13317" width="0" hidden="1" customWidth="1"/>
    <col min="13318" max="13318" width="18" customWidth="1"/>
    <col min="13319" max="13319" width="6.85546875" customWidth="1"/>
    <col min="13320" max="13320" width="17.140625" customWidth="1"/>
    <col min="13321" max="13321" width="14.28515625" customWidth="1"/>
    <col min="13322" max="13322" width="7.5703125" customWidth="1"/>
    <col min="13323" max="13323" width="12.7109375" customWidth="1"/>
    <col min="13324" max="13324" width="3.85546875" customWidth="1"/>
    <col min="13325" max="13325" width="13.5703125" bestFit="1" customWidth="1"/>
    <col min="13326" max="13326" width="6.42578125" customWidth="1"/>
    <col min="13327" max="13327" width="11.7109375" customWidth="1"/>
    <col min="13329" max="13329" width="6.42578125" customWidth="1"/>
    <col min="13330" max="13330" width="9.85546875" customWidth="1"/>
    <col min="13331" max="13331" width="11.5703125" customWidth="1"/>
    <col min="13332" max="13332" width="11.28515625" customWidth="1"/>
    <col min="13569" max="13569" width="33.28515625" customWidth="1"/>
    <col min="13570" max="13573" width="0" hidden="1" customWidth="1"/>
    <col min="13574" max="13574" width="18" customWidth="1"/>
    <col min="13575" max="13575" width="6.85546875" customWidth="1"/>
    <col min="13576" max="13576" width="17.140625" customWidth="1"/>
    <col min="13577" max="13577" width="14.28515625" customWidth="1"/>
    <col min="13578" max="13578" width="7.5703125" customWidth="1"/>
    <col min="13579" max="13579" width="12.7109375" customWidth="1"/>
    <col min="13580" max="13580" width="3.85546875" customWidth="1"/>
    <col min="13581" max="13581" width="13.5703125" bestFit="1" customWidth="1"/>
    <col min="13582" max="13582" width="6.42578125" customWidth="1"/>
    <col min="13583" max="13583" width="11.7109375" customWidth="1"/>
    <col min="13585" max="13585" width="6.42578125" customWidth="1"/>
    <col min="13586" max="13586" width="9.85546875" customWidth="1"/>
    <col min="13587" max="13587" width="11.5703125" customWidth="1"/>
    <col min="13588" max="13588" width="11.28515625" customWidth="1"/>
    <col min="13825" max="13825" width="33.28515625" customWidth="1"/>
    <col min="13826" max="13829" width="0" hidden="1" customWidth="1"/>
    <col min="13830" max="13830" width="18" customWidth="1"/>
    <col min="13831" max="13831" width="6.85546875" customWidth="1"/>
    <col min="13832" max="13832" width="17.140625" customWidth="1"/>
    <col min="13833" max="13833" width="14.28515625" customWidth="1"/>
    <col min="13834" max="13834" width="7.5703125" customWidth="1"/>
    <col min="13835" max="13835" width="12.7109375" customWidth="1"/>
    <col min="13836" max="13836" width="3.85546875" customWidth="1"/>
    <col min="13837" max="13837" width="13.5703125" bestFit="1" customWidth="1"/>
    <col min="13838" max="13838" width="6.42578125" customWidth="1"/>
    <col min="13839" max="13839" width="11.7109375" customWidth="1"/>
    <col min="13841" max="13841" width="6.42578125" customWidth="1"/>
    <col min="13842" max="13842" width="9.85546875" customWidth="1"/>
    <col min="13843" max="13843" width="11.5703125" customWidth="1"/>
    <col min="13844" max="13844" width="11.28515625" customWidth="1"/>
    <col min="14081" max="14081" width="33.28515625" customWidth="1"/>
    <col min="14082" max="14085" width="0" hidden="1" customWidth="1"/>
    <col min="14086" max="14086" width="18" customWidth="1"/>
    <col min="14087" max="14087" width="6.85546875" customWidth="1"/>
    <col min="14088" max="14088" width="17.140625" customWidth="1"/>
    <col min="14089" max="14089" width="14.28515625" customWidth="1"/>
    <col min="14090" max="14090" width="7.5703125" customWidth="1"/>
    <col min="14091" max="14091" width="12.7109375" customWidth="1"/>
    <col min="14092" max="14092" width="3.85546875" customWidth="1"/>
    <col min="14093" max="14093" width="13.5703125" bestFit="1" customWidth="1"/>
    <col min="14094" max="14094" width="6.42578125" customWidth="1"/>
    <col min="14095" max="14095" width="11.7109375" customWidth="1"/>
    <col min="14097" max="14097" width="6.42578125" customWidth="1"/>
    <col min="14098" max="14098" width="9.85546875" customWidth="1"/>
    <col min="14099" max="14099" width="11.5703125" customWidth="1"/>
    <col min="14100" max="14100" width="11.28515625" customWidth="1"/>
    <col min="14337" max="14337" width="33.28515625" customWidth="1"/>
    <col min="14338" max="14341" width="0" hidden="1" customWidth="1"/>
    <col min="14342" max="14342" width="18" customWidth="1"/>
    <col min="14343" max="14343" width="6.85546875" customWidth="1"/>
    <col min="14344" max="14344" width="17.140625" customWidth="1"/>
    <col min="14345" max="14345" width="14.28515625" customWidth="1"/>
    <col min="14346" max="14346" width="7.5703125" customWidth="1"/>
    <col min="14347" max="14347" width="12.7109375" customWidth="1"/>
    <col min="14348" max="14348" width="3.85546875" customWidth="1"/>
    <col min="14349" max="14349" width="13.5703125" bestFit="1" customWidth="1"/>
    <col min="14350" max="14350" width="6.42578125" customWidth="1"/>
    <col min="14351" max="14351" width="11.7109375" customWidth="1"/>
    <col min="14353" max="14353" width="6.42578125" customWidth="1"/>
    <col min="14354" max="14354" width="9.85546875" customWidth="1"/>
    <col min="14355" max="14355" width="11.5703125" customWidth="1"/>
    <col min="14356" max="14356" width="11.28515625" customWidth="1"/>
    <col min="14593" max="14593" width="33.28515625" customWidth="1"/>
    <col min="14594" max="14597" width="0" hidden="1" customWidth="1"/>
    <col min="14598" max="14598" width="18" customWidth="1"/>
    <col min="14599" max="14599" width="6.85546875" customWidth="1"/>
    <col min="14600" max="14600" width="17.140625" customWidth="1"/>
    <col min="14601" max="14601" width="14.28515625" customWidth="1"/>
    <col min="14602" max="14602" width="7.5703125" customWidth="1"/>
    <col min="14603" max="14603" width="12.7109375" customWidth="1"/>
    <col min="14604" max="14604" width="3.85546875" customWidth="1"/>
    <col min="14605" max="14605" width="13.5703125" bestFit="1" customWidth="1"/>
    <col min="14606" max="14606" width="6.42578125" customWidth="1"/>
    <col min="14607" max="14607" width="11.7109375" customWidth="1"/>
    <col min="14609" max="14609" width="6.42578125" customWidth="1"/>
    <col min="14610" max="14610" width="9.85546875" customWidth="1"/>
    <col min="14611" max="14611" width="11.5703125" customWidth="1"/>
    <col min="14612" max="14612" width="11.28515625" customWidth="1"/>
    <col min="14849" max="14849" width="33.28515625" customWidth="1"/>
    <col min="14850" max="14853" width="0" hidden="1" customWidth="1"/>
    <col min="14854" max="14854" width="18" customWidth="1"/>
    <col min="14855" max="14855" width="6.85546875" customWidth="1"/>
    <col min="14856" max="14856" width="17.140625" customWidth="1"/>
    <col min="14857" max="14857" width="14.28515625" customWidth="1"/>
    <col min="14858" max="14858" width="7.5703125" customWidth="1"/>
    <col min="14859" max="14859" width="12.7109375" customWidth="1"/>
    <col min="14860" max="14860" width="3.85546875" customWidth="1"/>
    <col min="14861" max="14861" width="13.5703125" bestFit="1" customWidth="1"/>
    <col min="14862" max="14862" width="6.42578125" customWidth="1"/>
    <col min="14863" max="14863" width="11.7109375" customWidth="1"/>
    <col min="14865" max="14865" width="6.42578125" customWidth="1"/>
    <col min="14866" max="14866" width="9.85546875" customWidth="1"/>
    <col min="14867" max="14867" width="11.5703125" customWidth="1"/>
    <col min="14868" max="14868" width="11.28515625" customWidth="1"/>
    <col min="15105" max="15105" width="33.28515625" customWidth="1"/>
    <col min="15106" max="15109" width="0" hidden="1" customWidth="1"/>
    <col min="15110" max="15110" width="18" customWidth="1"/>
    <col min="15111" max="15111" width="6.85546875" customWidth="1"/>
    <col min="15112" max="15112" width="17.140625" customWidth="1"/>
    <col min="15113" max="15113" width="14.28515625" customWidth="1"/>
    <col min="15114" max="15114" width="7.5703125" customWidth="1"/>
    <col min="15115" max="15115" width="12.7109375" customWidth="1"/>
    <col min="15116" max="15116" width="3.85546875" customWidth="1"/>
    <col min="15117" max="15117" width="13.5703125" bestFit="1" customWidth="1"/>
    <col min="15118" max="15118" width="6.42578125" customWidth="1"/>
    <col min="15119" max="15119" width="11.7109375" customWidth="1"/>
    <col min="15121" max="15121" width="6.42578125" customWidth="1"/>
    <col min="15122" max="15122" width="9.85546875" customWidth="1"/>
    <col min="15123" max="15123" width="11.5703125" customWidth="1"/>
    <col min="15124" max="15124" width="11.28515625" customWidth="1"/>
    <col min="15361" max="15361" width="33.28515625" customWidth="1"/>
    <col min="15362" max="15365" width="0" hidden="1" customWidth="1"/>
    <col min="15366" max="15366" width="18" customWidth="1"/>
    <col min="15367" max="15367" width="6.85546875" customWidth="1"/>
    <col min="15368" max="15368" width="17.140625" customWidth="1"/>
    <col min="15369" max="15369" width="14.28515625" customWidth="1"/>
    <col min="15370" max="15370" width="7.5703125" customWidth="1"/>
    <col min="15371" max="15371" width="12.7109375" customWidth="1"/>
    <col min="15372" max="15372" width="3.85546875" customWidth="1"/>
    <col min="15373" max="15373" width="13.5703125" bestFit="1" customWidth="1"/>
    <col min="15374" max="15374" width="6.42578125" customWidth="1"/>
    <col min="15375" max="15375" width="11.7109375" customWidth="1"/>
    <col min="15377" max="15377" width="6.42578125" customWidth="1"/>
    <col min="15378" max="15378" width="9.85546875" customWidth="1"/>
    <col min="15379" max="15379" width="11.5703125" customWidth="1"/>
    <col min="15380" max="15380" width="11.28515625" customWidth="1"/>
    <col min="15617" max="15617" width="33.28515625" customWidth="1"/>
    <col min="15618" max="15621" width="0" hidden="1" customWidth="1"/>
    <col min="15622" max="15622" width="18" customWidth="1"/>
    <col min="15623" max="15623" width="6.85546875" customWidth="1"/>
    <col min="15624" max="15624" width="17.140625" customWidth="1"/>
    <col min="15625" max="15625" width="14.28515625" customWidth="1"/>
    <col min="15626" max="15626" width="7.5703125" customWidth="1"/>
    <col min="15627" max="15627" width="12.7109375" customWidth="1"/>
    <col min="15628" max="15628" width="3.85546875" customWidth="1"/>
    <col min="15629" max="15629" width="13.5703125" bestFit="1" customWidth="1"/>
    <col min="15630" max="15630" width="6.42578125" customWidth="1"/>
    <col min="15631" max="15631" width="11.7109375" customWidth="1"/>
    <col min="15633" max="15633" width="6.42578125" customWidth="1"/>
    <col min="15634" max="15634" width="9.85546875" customWidth="1"/>
    <col min="15635" max="15635" width="11.5703125" customWidth="1"/>
    <col min="15636" max="15636" width="11.28515625" customWidth="1"/>
    <col min="15873" max="15873" width="33.28515625" customWidth="1"/>
    <col min="15874" max="15877" width="0" hidden="1" customWidth="1"/>
    <col min="15878" max="15878" width="18" customWidth="1"/>
    <col min="15879" max="15879" width="6.85546875" customWidth="1"/>
    <col min="15880" max="15880" width="17.140625" customWidth="1"/>
    <col min="15881" max="15881" width="14.28515625" customWidth="1"/>
    <col min="15882" max="15882" width="7.5703125" customWidth="1"/>
    <col min="15883" max="15883" width="12.7109375" customWidth="1"/>
    <col min="15884" max="15884" width="3.85546875" customWidth="1"/>
    <col min="15885" max="15885" width="13.5703125" bestFit="1" customWidth="1"/>
    <col min="15886" max="15886" width="6.42578125" customWidth="1"/>
    <col min="15887" max="15887" width="11.7109375" customWidth="1"/>
    <col min="15889" max="15889" width="6.42578125" customWidth="1"/>
    <col min="15890" max="15890" width="9.85546875" customWidth="1"/>
    <col min="15891" max="15891" width="11.5703125" customWidth="1"/>
    <col min="15892" max="15892" width="11.28515625" customWidth="1"/>
    <col min="16129" max="16129" width="33.28515625" customWidth="1"/>
    <col min="16130" max="16133" width="0" hidden="1" customWidth="1"/>
    <col min="16134" max="16134" width="18" customWidth="1"/>
    <col min="16135" max="16135" width="6.85546875" customWidth="1"/>
    <col min="16136" max="16136" width="17.140625" customWidth="1"/>
    <col min="16137" max="16137" width="14.28515625" customWidth="1"/>
    <col min="16138" max="16138" width="7.5703125" customWidth="1"/>
    <col min="16139" max="16139" width="12.7109375" customWidth="1"/>
    <col min="16140" max="16140" width="3.85546875" customWidth="1"/>
    <col min="16141" max="16141" width="13.5703125" bestFit="1" customWidth="1"/>
    <col min="16142" max="16142" width="6.42578125" customWidth="1"/>
    <col min="16143" max="16143" width="11.7109375" customWidth="1"/>
    <col min="16145" max="16145" width="6.42578125" customWidth="1"/>
    <col min="16146" max="16146" width="9.85546875" customWidth="1"/>
    <col min="16147" max="16147" width="11.5703125" customWidth="1"/>
    <col min="16148" max="16148" width="11.28515625" customWidth="1"/>
  </cols>
  <sheetData>
    <row r="1" spans="1:20" ht="18.75" thickBot="1" x14ac:dyDescent="0.3">
      <c r="A1" s="202">
        <f ca="1">NOW()</f>
        <v>45157.674522685185</v>
      </c>
      <c r="C1" s="203" t="s">
        <v>207</v>
      </c>
      <c r="D1" s="203"/>
      <c r="E1" s="203"/>
      <c r="F1" s="203"/>
      <c r="G1" s="203"/>
      <c r="H1" s="203"/>
    </row>
    <row r="2" spans="1:20" ht="18.75" thickBot="1" x14ac:dyDescent="0.3">
      <c r="A2" s="23"/>
      <c r="C2" s="203" t="s">
        <v>208</v>
      </c>
      <c r="D2" s="203"/>
      <c r="E2" s="203"/>
      <c r="F2" s="203"/>
      <c r="G2" s="203"/>
      <c r="H2" s="203"/>
      <c r="I2" s="205" t="s">
        <v>209</v>
      </c>
      <c r="J2" s="206"/>
      <c r="K2" s="207"/>
      <c r="M2" s="208" t="s">
        <v>210</v>
      </c>
      <c r="N2" s="209"/>
      <c r="O2" s="210"/>
    </row>
    <row r="3" spans="1:20" ht="13.5" hidden="1" thickBot="1" x14ac:dyDescent="0.25"/>
    <row r="4" spans="1:20" ht="18.75" hidden="1" thickBot="1" x14ac:dyDescent="0.3">
      <c r="A4" s="211" t="s">
        <v>211</v>
      </c>
      <c r="D4" s="212" t="s">
        <v>212</v>
      </c>
      <c r="E4" s="213" t="s">
        <v>213</v>
      </c>
      <c r="F4" s="214" t="s">
        <v>214</v>
      </c>
      <c r="G4" s="214"/>
      <c r="H4" s="214" t="s">
        <v>215</v>
      </c>
    </row>
    <row r="5" spans="1:20" ht="13.5" hidden="1" thickBot="1" x14ac:dyDescent="0.25">
      <c r="A5" s="215" t="s">
        <v>7</v>
      </c>
      <c r="B5" s="216"/>
      <c r="C5" s="216"/>
      <c r="D5" s="217" t="e">
        <f>E14+E22+E30+E38+#REF!</f>
        <v>#REF!</v>
      </c>
      <c r="E5" s="218" t="e">
        <f>D5/D$11</f>
        <v>#REF!</v>
      </c>
      <c r="F5" s="216" t="e">
        <f>F14+F22+F30+F38+#REF!</f>
        <v>#REF!</v>
      </c>
      <c r="G5" s="216"/>
      <c r="H5" s="218" t="e">
        <f>F5/F$11</f>
        <v>#REF!</v>
      </c>
    </row>
    <row r="6" spans="1:20" ht="13.5" hidden="1" thickBot="1" x14ac:dyDescent="0.25">
      <c r="A6" s="219" t="s">
        <v>8</v>
      </c>
      <c r="B6" s="220"/>
      <c r="C6" s="220"/>
      <c r="D6" s="220" t="e">
        <f>E15+E23+E31+E39+#REF!</f>
        <v>#REF!</v>
      </c>
      <c r="E6" s="221" t="e">
        <f>D6/D$11</f>
        <v>#REF!</v>
      </c>
      <c r="F6" s="220" t="e">
        <f>F15+F23+F31+F39+#REF!</f>
        <v>#REF!</v>
      </c>
      <c r="G6" s="220"/>
      <c r="H6" s="221" t="e">
        <f>F6/F$11</f>
        <v>#REF!</v>
      </c>
    </row>
    <row r="7" spans="1:20" ht="13.5" hidden="1" thickBot="1" x14ac:dyDescent="0.25">
      <c r="A7" s="219" t="s">
        <v>9</v>
      </c>
      <c r="B7" s="220"/>
      <c r="C7" s="220"/>
      <c r="D7" s="220" t="e">
        <f>E16+E24+E32+E40+#REF!</f>
        <v>#REF!</v>
      </c>
      <c r="E7" s="221" t="e">
        <f>D7/D$11</f>
        <v>#REF!</v>
      </c>
      <c r="F7" s="220" t="e">
        <f>F16+F24+F32+F40+#REF!</f>
        <v>#REF!</v>
      </c>
      <c r="G7" s="220"/>
      <c r="H7" s="221" t="e">
        <f>F7/F$11</f>
        <v>#REF!</v>
      </c>
    </row>
    <row r="8" spans="1:20" ht="13.5" hidden="1" thickBot="1" x14ac:dyDescent="0.25">
      <c r="A8" s="219" t="s">
        <v>10</v>
      </c>
      <c r="B8" s="220"/>
      <c r="C8" s="220"/>
      <c r="D8" s="220" t="e">
        <f>E17+E25+E33+E41+#REF!</f>
        <v>#REF!</v>
      </c>
      <c r="E8" s="221" t="e">
        <f>D8/D$11</f>
        <v>#REF!</v>
      </c>
      <c r="F8" s="220" t="e">
        <f>F17+F25+F33+F41+#REF!</f>
        <v>#REF!</v>
      </c>
      <c r="G8" s="220"/>
      <c r="H8" s="221" t="e">
        <f>F8/F$11</f>
        <v>#REF!</v>
      </c>
    </row>
    <row r="9" spans="1:20" ht="13.5" hidden="1" thickBot="1" x14ac:dyDescent="0.25">
      <c r="A9" s="219" t="s">
        <v>11</v>
      </c>
      <c r="B9" s="220"/>
      <c r="C9" s="220"/>
      <c r="D9" s="222" t="e">
        <f>E18+E26+E34+E42+#REF!+#REF!+#REF!+#REF!</f>
        <v>#REF!</v>
      </c>
      <c r="E9" s="223" t="e">
        <f>D9/D$11</f>
        <v>#REF!</v>
      </c>
      <c r="F9" s="222" t="e">
        <f>F18+F26+F34+F42+#REF!+#REF!+#REF!+#REF!</f>
        <v>#REF!</v>
      </c>
      <c r="G9" s="222"/>
      <c r="H9" s="223" t="e">
        <f>F9/F$11</f>
        <v>#REF!</v>
      </c>
    </row>
    <row r="10" spans="1:20" ht="12" hidden="1" customHeight="1" x14ac:dyDescent="0.2">
      <c r="A10" s="219"/>
      <c r="B10" s="220"/>
      <c r="C10" s="220"/>
      <c r="D10" s="220"/>
      <c r="E10" s="221"/>
      <c r="F10" s="220"/>
      <c r="G10" s="220"/>
      <c r="H10" s="221"/>
    </row>
    <row r="11" spans="1:20" ht="13.5" hidden="1" thickBot="1" x14ac:dyDescent="0.25">
      <c r="A11" s="224" t="s">
        <v>216</v>
      </c>
      <c r="B11" s="222"/>
      <c r="C11" s="222"/>
      <c r="D11" s="225" t="e">
        <f>SUM(D5:D10)</f>
        <v>#REF!</v>
      </c>
      <c r="E11" s="223" t="e">
        <f>D11/D$11</f>
        <v>#REF!</v>
      </c>
      <c r="F11" s="222" t="e">
        <f>SUM(F5:F10)</f>
        <v>#REF!</v>
      </c>
      <c r="G11" s="222"/>
      <c r="H11" s="223" t="e">
        <f>F11/F$11</f>
        <v>#REF!</v>
      </c>
    </row>
    <row r="12" spans="1:20" s="146" customFormat="1" ht="54" customHeight="1" thickBot="1" x14ac:dyDescent="0.3">
      <c r="A12" s="146" t="s">
        <v>217</v>
      </c>
      <c r="B12" s="226" t="s">
        <v>218</v>
      </c>
      <c r="C12" s="226" t="s">
        <v>219</v>
      </c>
      <c r="D12" s="212" t="s">
        <v>220</v>
      </c>
      <c r="E12" s="213" t="s">
        <v>221</v>
      </c>
      <c r="F12" s="227" t="s">
        <v>222</v>
      </c>
      <c r="G12" s="228" t="s">
        <v>223</v>
      </c>
      <c r="H12" s="229" t="s">
        <v>224</v>
      </c>
      <c r="I12" s="227" t="s">
        <v>225</v>
      </c>
      <c r="J12" s="228" t="s">
        <v>226</v>
      </c>
      <c r="K12" s="230" t="s">
        <v>227</v>
      </c>
      <c r="M12" s="231" t="s">
        <v>228</v>
      </c>
      <c r="N12" s="228" t="s">
        <v>223</v>
      </c>
      <c r="O12" s="230" t="s">
        <v>227</v>
      </c>
      <c r="Q12" s="232" t="s">
        <v>229</v>
      </c>
      <c r="S12" s="37" t="s">
        <v>188</v>
      </c>
      <c r="T12" s="102" t="s">
        <v>189</v>
      </c>
    </row>
    <row r="13" spans="1:20" ht="16.5" x14ac:dyDescent="0.25">
      <c r="A13" s="233" t="s">
        <v>230</v>
      </c>
      <c r="B13" s="216"/>
      <c r="C13" s="216"/>
      <c r="D13" s="217"/>
      <c r="E13" s="216"/>
      <c r="F13" s="234"/>
      <c r="G13" s="216"/>
      <c r="H13" s="235"/>
      <c r="I13" s="177"/>
      <c r="K13" s="176"/>
      <c r="M13" s="236"/>
      <c r="O13" s="176"/>
    </row>
    <row r="14" spans="1:20" x14ac:dyDescent="0.2">
      <c r="A14" s="219" t="s">
        <v>7</v>
      </c>
      <c r="B14" s="220"/>
      <c r="C14" s="220">
        <f>'[6]Allocation Sheet'!$C$10+'[6]Allocation Sheet'!$F$10</f>
        <v>87213.000000000015</v>
      </c>
      <c r="D14" s="220">
        <f>'[6]Allocation Sheet'!$N$10-C14</f>
        <v>111066.99999999999</v>
      </c>
      <c r="E14" s="220">
        <f>SUM(B14:D14)</f>
        <v>198280</v>
      </c>
      <c r="F14" s="237">
        <f>[6]Expenditure!$B$18</f>
        <v>111877.56</v>
      </c>
      <c r="G14" s="221">
        <f>F14/(F$19-F$18)</f>
        <v>0.16761947511696199</v>
      </c>
      <c r="H14" s="238">
        <f>E14-F14</f>
        <v>86402.44</v>
      </c>
      <c r="I14" s="239">
        <f>'7-01-2023 to 6-30-2024'!C18</f>
        <v>65202.752726552193</v>
      </c>
      <c r="J14" s="240">
        <f>I14/I$19</f>
        <v>0.1603210179517551</v>
      </c>
      <c r="K14" s="241">
        <f>H14+I14-F14</f>
        <v>39727.632726552198</v>
      </c>
      <c r="L14" s="6"/>
      <c r="M14" s="236">
        <f>I$19*G14</f>
        <v>68171.044120332648</v>
      </c>
      <c r="N14" s="240">
        <f>M14/M$19</f>
        <v>0.16761947511696199</v>
      </c>
      <c r="O14" s="242">
        <f>H14+M14-F14</f>
        <v>42695.924120332638</v>
      </c>
      <c r="Q14" s="240">
        <f>N14-J14</f>
        <v>7.2984571652068841E-3</v>
      </c>
      <c r="S14" s="243">
        <f>M14*0.196674</f>
        <v>13407.471931322303</v>
      </c>
      <c r="T14" s="243">
        <f>M14-S14</f>
        <v>54763.572189010345</v>
      </c>
    </row>
    <row r="15" spans="1:20" x14ac:dyDescent="0.2">
      <c r="A15" s="219" t="s">
        <v>8</v>
      </c>
      <c r="B15" s="220"/>
      <c r="C15" s="220">
        <f>'[7]Allocation Sheet'!$C$10+'[7]Allocation Sheet'!$F$10</f>
        <v>121848.74</v>
      </c>
      <c r="D15" s="220">
        <f>'[7]Allocation Sheet'!$N$10-C15</f>
        <v>101423.99999999999</v>
      </c>
      <c r="E15" s="220">
        <f>SUM(B15:D15)</f>
        <v>223272.74</v>
      </c>
      <c r="F15" s="237">
        <f>[7]Expenditure!$B$18</f>
        <v>161882.02000000002</v>
      </c>
      <c r="G15" s="221">
        <f>F15/(F$19-F$18)</f>
        <v>0.24253817497694397</v>
      </c>
      <c r="H15" s="238">
        <f>E15-F15</f>
        <v>61390.719999999972</v>
      </c>
      <c r="I15" s="239">
        <f>'7-01-2023 to 6-30-2024'!C19</f>
        <v>60291.668756505278</v>
      </c>
      <c r="J15" s="240">
        <f>I15/I$19</f>
        <v>0.14824560781337548</v>
      </c>
      <c r="K15" s="244">
        <f>H15+I15-F15</f>
        <v>-40199.631243494776</v>
      </c>
      <c r="L15" s="6"/>
      <c r="M15" s="236">
        <f>I$19*G15</f>
        <v>98640.57034948362</v>
      </c>
      <c r="N15" s="240">
        <f>M15/M$19</f>
        <v>0.24253817497694397</v>
      </c>
      <c r="O15" s="244">
        <f>H15+M15-F15</f>
        <v>-1850.7296505164122</v>
      </c>
      <c r="Q15" s="240">
        <f>N15-J15</f>
        <v>9.4292567163568486E-2</v>
      </c>
      <c r="S15" s="243">
        <f t="shared" ref="S15:S17" si="0">M15*0.196674</f>
        <v>19400.035532914339</v>
      </c>
      <c r="T15" s="243">
        <f t="shared" ref="T15:T17" si="1">M15-S15</f>
        <v>79240.534816569285</v>
      </c>
    </row>
    <row r="16" spans="1:20" x14ac:dyDescent="0.2">
      <c r="A16" s="219" t="s">
        <v>9</v>
      </c>
      <c r="B16" s="220"/>
      <c r="C16" s="220">
        <f>'[8]Allocation Sheet'!$C$10+'[8]Allocation Sheet'!$F$10</f>
        <v>73580.36</v>
      </c>
      <c r="D16" s="220">
        <f>'[8]Allocation Sheet'!$N$10-C16</f>
        <v>122756.99999999999</v>
      </c>
      <c r="E16" s="220">
        <f>SUM(B16:D16)</f>
        <v>196337.36</v>
      </c>
      <c r="F16" s="237">
        <f>[8]Expenditure!$B$18</f>
        <v>124363.7</v>
      </c>
      <c r="G16" s="221">
        <f>F16/(F$19-F$18)</f>
        <v>0.18632671393265393</v>
      </c>
      <c r="H16" s="238">
        <f>E16-F16</f>
        <v>71973.659999999989</v>
      </c>
      <c r="I16" s="239">
        <f>'7-01-2023 to 6-30-2024'!C20</f>
        <v>68980.176784570649</v>
      </c>
      <c r="J16" s="240">
        <f>I16/I$19</f>
        <v>0.16960897658682594</v>
      </c>
      <c r="K16" s="241">
        <f>H16+I16-F16</f>
        <v>16590.136784570655</v>
      </c>
      <c r="L16" s="6"/>
      <c r="M16" s="236">
        <f>I$19*G16</f>
        <v>75779.300868447739</v>
      </c>
      <c r="N16" s="240">
        <f>M16/M$19</f>
        <v>0.18632671393265393</v>
      </c>
      <c r="O16" s="242">
        <f>H16+M16-F16</f>
        <v>23389.260868447731</v>
      </c>
      <c r="Q16" s="240">
        <f>N16-J16</f>
        <v>1.6717737345827988E-2</v>
      </c>
      <c r="S16" s="243">
        <f t="shared" si="0"/>
        <v>14903.81821900109</v>
      </c>
      <c r="T16" s="243">
        <f t="shared" si="1"/>
        <v>60875.482649446647</v>
      </c>
    </row>
    <row r="17" spans="1:20" x14ac:dyDescent="0.2">
      <c r="A17" s="219" t="s">
        <v>10</v>
      </c>
      <c r="B17" s="220"/>
      <c r="C17" s="220">
        <f>'[9]Allocation Sheet'!$C$10+'[9]Allocation Sheet'!$F$10</f>
        <v>294100.21000000002</v>
      </c>
      <c r="D17" s="220">
        <f>'[9]Allocation Sheet'!$N$10-C17</f>
        <v>158778</v>
      </c>
      <c r="E17" s="220">
        <f>SUM(B17:D17)</f>
        <v>452878.21</v>
      </c>
      <c r="F17" s="237">
        <f>[9]Expenditure!$B$18</f>
        <v>269326.37</v>
      </c>
      <c r="G17" s="221">
        <f>F17/(F$19-F$18)</f>
        <v>0.40351563597344009</v>
      </c>
      <c r="H17" s="238">
        <f>E17-F17</f>
        <v>183551.84000000003</v>
      </c>
      <c r="I17" s="239">
        <f>'7-01-2023 to 6-30-2024'!C21</f>
        <v>212226.61633028224</v>
      </c>
      <c r="J17" s="240">
        <f>I17/I$19</f>
        <v>0.52182439764804345</v>
      </c>
      <c r="K17" s="241">
        <f>H17+I17-F17</f>
        <v>126452.08633028227</v>
      </c>
      <c r="L17" s="6"/>
      <c r="M17" s="236">
        <f>I$19*G17</f>
        <v>164110.29925964633</v>
      </c>
      <c r="N17" s="240">
        <f>M17/M$19</f>
        <v>0.40351563597344009</v>
      </c>
      <c r="O17" s="242">
        <f>H17+M17-F17</f>
        <v>78335.76925964636</v>
      </c>
      <c r="Q17" s="240">
        <f>N17-J17</f>
        <v>-0.11830876167460336</v>
      </c>
      <c r="S17" s="243">
        <f t="shared" si="0"/>
        <v>32276.228996591679</v>
      </c>
      <c r="T17" s="243">
        <f t="shared" si="1"/>
        <v>131834.07026305466</v>
      </c>
    </row>
    <row r="18" spans="1:20" ht="13.5" thickBot="1" x14ac:dyDescent="0.25">
      <c r="A18" s="219" t="s">
        <v>11</v>
      </c>
      <c r="B18" s="222"/>
      <c r="C18" s="222">
        <f>'[10]Allocation Sheet'!$C$10+'[10]Allocation Sheet'!$F$10</f>
        <v>32000</v>
      </c>
      <c r="D18" s="222">
        <f>'[10]Allocation Sheet'!$N$10-C18</f>
        <v>0</v>
      </c>
      <c r="E18" s="222">
        <f>SUM(B18:D18)</f>
        <v>32000</v>
      </c>
      <c r="F18" s="245">
        <f>[10]Expenditure!$B$19</f>
        <v>32000</v>
      </c>
      <c r="G18" s="222"/>
      <c r="H18" s="246">
        <f>E18-F18</f>
        <v>0</v>
      </c>
      <c r="I18" s="247" t="s">
        <v>231</v>
      </c>
      <c r="J18" s="248"/>
      <c r="K18" s="246"/>
      <c r="L18" s="6"/>
      <c r="M18" s="249" t="s">
        <v>231</v>
      </c>
      <c r="N18" s="248"/>
      <c r="O18" s="246"/>
      <c r="Q18" s="240"/>
      <c r="S18" s="250">
        <f>SUM(S14:S17)-1</f>
        <v>79986.554679829409</v>
      </c>
    </row>
    <row r="19" spans="1:20" ht="13.5" thickBot="1" x14ac:dyDescent="0.25">
      <c r="A19" s="224" t="s">
        <v>232</v>
      </c>
      <c r="B19" s="222">
        <f t="shared" ref="B19:K19" si="2">SUM(B14:B18)</f>
        <v>0</v>
      </c>
      <c r="C19" s="222">
        <f t="shared" si="2"/>
        <v>608742.31000000006</v>
      </c>
      <c r="D19" s="222">
        <f t="shared" si="2"/>
        <v>494025.99999999994</v>
      </c>
      <c r="E19" s="222">
        <f t="shared" si="2"/>
        <v>1102768.31</v>
      </c>
      <c r="F19" s="245">
        <f t="shared" si="2"/>
        <v>699449.65</v>
      </c>
      <c r="G19" s="222"/>
      <c r="H19" s="246">
        <f t="shared" si="2"/>
        <v>403318.66</v>
      </c>
      <c r="I19" s="251">
        <f t="shared" si="2"/>
        <v>406701.21459791035</v>
      </c>
      <c r="J19" s="222"/>
      <c r="K19" s="246">
        <f t="shared" si="2"/>
        <v>142570.22459791036</v>
      </c>
      <c r="L19" s="6"/>
      <c r="M19" s="252">
        <f>SUM(M14:M18)</f>
        <v>406701.21459791035</v>
      </c>
      <c r="N19" s="222"/>
      <c r="O19" s="246">
        <f>SUM(O14:O18)</f>
        <v>142570.2245979103</v>
      </c>
      <c r="Q19" s="240"/>
    </row>
    <row r="20" spans="1:20" ht="13.5" hidden="1" thickBot="1" x14ac:dyDescent="0.25">
      <c r="A20" s="253"/>
      <c r="B20" s="220"/>
      <c r="C20" s="220"/>
      <c r="D20" s="254"/>
      <c r="E20" s="220"/>
      <c r="F20" s="237"/>
      <c r="G20" s="220"/>
      <c r="H20" s="238"/>
      <c r="I20" s="177"/>
      <c r="K20" s="176"/>
      <c r="L20" s="6"/>
      <c r="M20" s="236"/>
      <c r="O20" s="242"/>
      <c r="Q20" s="240"/>
    </row>
    <row r="21" spans="1:20" ht="16.5" x14ac:dyDescent="0.25">
      <c r="A21" s="233" t="s">
        <v>233</v>
      </c>
      <c r="B21" s="216"/>
      <c r="C21" s="216"/>
      <c r="D21" s="217" t="s">
        <v>72</v>
      </c>
      <c r="E21" s="216"/>
      <c r="F21" s="255"/>
      <c r="G21" s="216"/>
      <c r="H21" s="235"/>
      <c r="I21" s="177"/>
      <c r="K21" s="176"/>
      <c r="L21" s="6"/>
      <c r="M21" s="236"/>
      <c r="O21" s="242"/>
      <c r="Q21" s="240"/>
    </row>
    <row r="22" spans="1:20" x14ac:dyDescent="0.2">
      <c r="A22" s="219" t="s">
        <v>7</v>
      </c>
      <c r="B22" s="220"/>
      <c r="C22" s="220">
        <f>'[6]Allocation Sheet'!$C$11+'[6]Allocation Sheet'!$F$11</f>
        <v>105599</v>
      </c>
      <c r="D22" s="220">
        <f>'[6]Allocation Sheet'!$N$11-C22</f>
        <v>73432</v>
      </c>
      <c r="E22" s="220">
        <f>SUM(B22:D22)</f>
        <v>179031</v>
      </c>
      <c r="F22" s="237">
        <f>[6]Expenditure!$C$18</f>
        <v>87641.040000000008</v>
      </c>
      <c r="G22" s="221">
        <f>F22/(F$27-F$26)</f>
        <v>0.23392475682216615</v>
      </c>
      <c r="H22" s="238">
        <f>E22-F22</f>
        <v>91389.959999999992</v>
      </c>
      <c r="I22" s="239">
        <f>'7-01-2023 to 6-30-2024'!C37</f>
        <v>89946.638504047893</v>
      </c>
      <c r="J22" s="240">
        <f>I22/I$27</f>
        <v>0.26550849534259829</v>
      </c>
      <c r="K22" s="241">
        <f>H22+I22-F22</f>
        <v>93695.558504047891</v>
      </c>
      <c r="L22" s="6"/>
      <c r="M22" s="236">
        <f>I$27*G22</f>
        <v>79246.976681031665</v>
      </c>
      <c r="N22" s="240">
        <f>M22/M$27</f>
        <v>0.23392475682216612</v>
      </c>
      <c r="O22" s="242">
        <f>H22+M22-F22</f>
        <v>82995.896681031649</v>
      </c>
      <c r="Q22" s="240">
        <f>N22-J22</f>
        <v>-3.158373852043217E-2</v>
      </c>
      <c r="S22" s="243">
        <f>M22*0.215654</f>
        <v>17089.927509171204</v>
      </c>
      <c r="T22" s="243">
        <f>M22-S22</f>
        <v>62157.049171860461</v>
      </c>
    </row>
    <row r="23" spans="1:20" x14ac:dyDescent="0.2">
      <c r="A23" s="219" t="s">
        <v>8</v>
      </c>
      <c r="B23" s="220"/>
      <c r="C23" s="220">
        <f>'[7]Allocation Sheet'!$C$11+'[7]Allocation Sheet'!$F$11</f>
        <v>86998.05</v>
      </c>
      <c r="D23" s="220">
        <f>'[7]Allocation Sheet'!$N$11-C23</f>
        <v>131705</v>
      </c>
      <c r="E23" s="220">
        <f>SUM(B23:D23)</f>
        <v>218703.05</v>
      </c>
      <c r="F23" s="237">
        <f>[7]Expenditure!$C$18</f>
        <v>157453.89000000001</v>
      </c>
      <c r="G23" s="221">
        <f>F23/(F$27-F$26)</f>
        <v>0.42026387328304299</v>
      </c>
      <c r="H23" s="238">
        <f>E23-F23</f>
        <v>61249.159999999974</v>
      </c>
      <c r="I23" s="239">
        <f>'7-01-2023 to 6-30-2024'!C38</f>
        <v>58924.422266031113</v>
      </c>
      <c r="J23" s="240">
        <f>I23/I$27</f>
        <v>0.1739357351757147</v>
      </c>
      <c r="K23" s="244">
        <f>H23+I23-F23</f>
        <v>-37280.307733968919</v>
      </c>
      <c r="L23" s="6"/>
      <c r="M23" s="236">
        <f>I$27*G23</f>
        <v>142373.30763267673</v>
      </c>
      <c r="N23" s="240">
        <f>M23/M$27</f>
        <v>0.42026387328304293</v>
      </c>
      <c r="O23" s="242">
        <f>H23+M23-F23</f>
        <v>46168.577632676694</v>
      </c>
      <c r="Q23" s="240">
        <f>N23-J23</f>
        <v>0.24632813810732823</v>
      </c>
      <c r="S23" s="243">
        <f t="shared" ref="S23:S25" si="3">M23*0.215654</f>
        <v>30703.373284217269</v>
      </c>
      <c r="T23" s="243">
        <f t="shared" ref="T23:T25" si="4">M23-S23</f>
        <v>111669.93434845947</v>
      </c>
    </row>
    <row r="24" spans="1:20" x14ac:dyDescent="0.2">
      <c r="A24" s="219" t="s">
        <v>9</v>
      </c>
      <c r="B24" s="220"/>
      <c r="C24" s="220">
        <f>'[8]Allocation Sheet'!$C$11+'[8]Allocation Sheet'!$F$11</f>
        <v>66765.999999999985</v>
      </c>
      <c r="D24" s="220">
        <f>'[8]Allocation Sheet'!$N$11-C24</f>
        <v>101237.00000000001</v>
      </c>
      <c r="E24" s="220">
        <f>SUM(B24:D24)</f>
        <v>168003</v>
      </c>
      <c r="F24" s="237">
        <f>[8]Expenditure!$C$18</f>
        <v>89036.1</v>
      </c>
      <c r="G24" s="221">
        <f>F24/(F$27-F$26)</f>
        <v>0.23764834421058978</v>
      </c>
      <c r="H24" s="238">
        <f>E24-F24</f>
        <v>78966.899999999994</v>
      </c>
      <c r="I24" s="239">
        <f>'7-01-2023 to 6-30-2024'!C39</f>
        <v>62032.573418566375</v>
      </c>
      <c r="J24" s="240">
        <f>I24/I$27</f>
        <v>0.1831105142395244</v>
      </c>
      <c r="K24" s="241">
        <f>H24+I24-F24</f>
        <v>51963.373418566363</v>
      </c>
      <c r="L24" s="6"/>
      <c r="M24" s="236">
        <f>I$27*G24</f>
        <v>80508.420946054539</v>
      </c>
      <c r="N24" s="240">
        <f>M24/M$27</f>
        <v>0.23764834421058975</v>
      </c>
      <c r="O24" s="242">
        <f>H24+M24-F24</f>
        <v>70439.220946054527</v>
      </c>
      <c r="Q24" s="240">
        <f>N24-J24</f>
        <v>5.4537829971065349E-2</v>
      </c>
      <c r="S24" s="243">
        <f t="shared" si="3"/>
        <v>17361.963010700445</v>
      </c>
      <c r="T24" s="243">
        <f t="shared" si="4"/>
        <v>63146.45793535409</v>
      </c>
    </row>
    <row r="25" spans="1:20" x14ac:dyDescent="0.2">
      <c r="A25" s="219" t="s">
        <v>10</v>
      </c>
      <c r="B25" s="220"/>
      <c r="C25" s="220">
        <f>'[9]Allocation Sheet'!$C$11+'[9]Allocation Sheet'!$F$11</f>
        <v>208467.20000000001</v>
      </c>
      <c r="D25" s="220">
        <f>'[9]Allocation Sheet'!$N$11-C25</f>
        <v>60585.75</v>
      </c>
      <c r="E25" s="220">
        <f>SUM(B25:D25)</f>
        <v>269052.95</v>
      </c>
      <c r="F25" s="237">
        <f>[9]Expenditure!$C$18</f>
        <v>40523.800000000003</v>
      </c>
      <c r="G25" s="221">
        <f>F25/(F$27-F$26)</f>
        <v>0.10816302568420111</v>
      </c>
      <c r="H25" s="238">
        <f>E25-F25</f>
        <v>228529.15000000002</v>
      </c>
      <c r="I25" s="239">
        <f>'7-01-2023 to 6-30-2024'!C40</f>
        <v>127867.59189956493</v>
      </c>
      <c r="J25" s="240">
        <f>I25/I$27</f>
        <v>0.37744525524216266</v>
      </c>
      <c r="K25" s="241">
        <f>H25+I25-F25</f>
        <v>315872.94189956499</v>
      </c>
      <c r="L25" s="6"/>
      <c r="M25" s="236">
        <f>I$27*G25</f>
        <v>36642.520828447392</v>
      </c>
      <c r="N25" s="240">
        <f>M25/M$27</f>
        <v>0.10816302568420109</v>
      </c>
      <c r="O25" s="242">
        <f>H25+M25-F25</f>
        <v>224647.87082844746</v>
      </c>
      <c r="Q25" s="240">
        <f>N25-J25</f>
        <v>-0.26928222955796155</v>
      </c>
      <c r="S25" s="243">
        <f t="shared" si="3"/>
        <v>7902.106186737994</v>
      </c>
      <c r="T25" s="243">
        <f t="shared" si="4"/>
        <v>28740.414641709398</v>
      </c>
    </row>
    <row r="26" spans="1:20" ht="13.5" thickBot="1" x14ac:dyDescent="0.25">
      <c r="A26" s="219" t="s">
        <v>11</v>
      </c>
      <c r="B26" s="222"/>
      <c r="C26" s="222">
        <f>'[10]Allocation Sheet'!$C$11+'[10]Allocation Sheet'!$F$11</f>
        <v>36000</v>
      </c>
      <c r="D26" s="222">
        <f>'[10]Allocation Sheet'!$N$11-C26</f>
        <v>39248.25</v>
      </c>
      <c r="E26" s="222">
        <f>SUM(B26:D26)</f>
        <v>75248.25</v>
      </c>
      <c r="F26" s="245">
        <f>[10]Expenditure!$C$19</f>
        <v>75248.25</v>
      </c>
      <c r="G26" s="222"/>
      <c r="H26" s="256">
        <f>E26-F26</f>
        <v>0</v>
      </c>
      <c r="I26" s="247" t="s">
        <v>231</v>
      </c>
      <c r="J26" s="248"/>
      <c r="K26" s="246"/>
      <c r="L26" s="6"/>
      <c r="M26" s="249" t="s">
        <v>231</v>
      </c>
      <c r="N26" s="248"/>
      <c r="O26" s="246"/>
      <c r="Q26" s="240"/>
      <c r="S26" s="250">
        <f>SUM(S22:S25)</f>
        <v>73057.369990826905</v>
      </c>
    </row>
    <row r="27" spans="1:20" ht="13.5" thickBot="1" x14ac:dyDescent="0.25">
      <c r="A27" s="224" t="s">
        <v>234</v>
      </c>
      <c r="B27" s="222">
        <f t="shared" ref="B27:H27" si="5">SUM(B22:B26)</f>
        <v>0</v>
      </c>
      <c r="C27" s="222">
        <f t="shared" si="5"/>
        <v>503830.25</v>
      </c>
      <c r="D27" s="222">
        <f t="shared" si="5"/>
        <v>406208</v>
      </c>
      <c r="E27" s="222">
        <f t="shared" si="5"/>
        <v>910038.25</v>
      </c>
      <c r="F27" s="245">
        <f t="shared" si="5"/>
        <v>449903.08</v>
      </c>
      <c r="G27" s="222"/>
      <c r="H27" s="246">
        <f t="shared" si="5"/>
        <v>460135.17</v>
      </c>
      <c r="I27" s="251">
        <f>SUM(I22:I26)</f>
        <v>338771.2260882103</v>
      </c>
      <c r="J27" s="222"/>
      <c r="K27" s="246">
        <f>SUM(K22:K26)</f>
        <v>424251.56608821033</v>
      </c>
      <c r="L27" s="6"/>
      <c r="M27" s="252">
        <f>SUM(M22:M26)</f>
        <v>338771.22608821036</v>
      </c>
      <c r="N27" s="222"/>
      <c r="O27" s="246">
        <f>SUM(O22:O26)</f>
        <v>424251.56608821033</v>
      </c>
      <c r="Q27" s="240"/>
    </row>
    <row r="28" spans="1:20" ht="13.5" hidden="1" thickBot="1" x14ac:dyDescent="0.25">
      <c r="A28" s="146"/>
      <c r="B28" s="220"/>
      <c r="C28" s="220"/>
      <c r="D28" s="254"/>
      <c r="E28" s="220"/>
      <c r="F28" s="237"/>
      <c r="G28" s="220"/>
      <c r="H28" s="238"/>
      <c r="I28" s="177"/>
      <c r="K28" s="176"/>
      <c r="L28" s="6"/>
      <c r="M28" s="236"/>
      <c r="O28" s="242"/>
      <c r="Q28" s="240"/>
    </row>
    <row r="29" spans="1:20" ht="16.5" x14ac:dyDescent="0.25">
      <c r="A29" s="233" t="s">
        <v>235</v>
      </c>
      <c r="B29" s="257"/>
      <c r="C29" s="216"/>
      <c r="D29" s="217"/>
      <c r="E29" s="216"/>
      <c r="F29" s="255"/>
      <c r="G29" s="216"/>
      <c r="H29" s="235"/>
      <c r="I29" s="177"/>
      <c r="K29" s="176"/>
      <c r="L29" s="6"/>
      <c r="M29" s="236"/>
      <c r="O29" s="242"/>
      <c r="Q29" s="240"/>
    </row>
    <row r="30" spans="1:20" x14ac:dyDescent="0.2">
      <c r="A30" s="219" t="s">
        <v>7</v>
      </c>
      <c r="B30" s="220"/>
      <c r="C30" s="220">
        <f>'[6]Allocation Sheet'!$C$12+'[6]Allocation Sheet'!$N$32</f>
        <v>104493.86</v>
      </c>
      <c r="D30" s="220">
        <f>'[6]Allocation Sheet'!$N$12+'[6]Allocation Sheet'!$N$32-C30</f>
        <v>37222.999999999985</v>
      </c>
      <c r="E30" s="220">
        <f>SUM(B30:D30)</f>
        <v>141716.85999999999</v>
      </c>
      <c r="F30" s="237">
        <f>[6]Expenditure!$D$18+[6]Expenditure!$E$18+[6]Expenditure!$P$18</f>
        <v>79758.929999999993</v>
      </c>
      <c r="G30" s="221">
        <f>F30/(F$35-F$34)</f>
        <v>0.14041139612205841</v>
      </c>
      <c r="H30" s="238">
        <f>E30-F30</f>
        <v>61957.929999999993</v>
      </c>
      <c r="I30" s="239">
        <f>'7-01-2023 to 6-30-2024'!C58</f>
        <v>66689.5277011609</v>
      </c>
      <c r="J30" s="240">
        <f>I30/I$35</f>
        <v>0.15976819124222516</v>
      </c>
      <c r="K30" s="241">
        <f>H30+I30-F30</f>
        <v>48888.5277011609</v>
      </c>
      <c r="L30" s="6"/>
      <c r="M30" s="236">
        <f>I$35*G30</f>
        <v>58609.724616860309</v>
      </c>
      <c r="N30" s="240">
        <f>M30/M$35</f>
        <v>0.14041139612205841</v>
      </c>
      <c r="O30" s="242">
        <f>H30+M30-F30</f>
        <v>40808.724616860301</v>
      </c>
      <c r="Q30" s="240">
        <f>N30-J30</f>
        <v>-1.9356795120166748E-2</v>
      </c>
    </row>
    <row r="31" spans="1:20" x14ac:dyDescent="0.2">
      <c r="A31" s="219" t="s">
        <v>8</v>
      </c>
      <c r="B31" s="220"/>
      <c r="C31" s="220">
        <f>'[7]Allocation Sheet'!$C$12+'[7]Allocation Sheet'!$N$32</f>
        <v>105664.55</v>
      </c>
      <c r="D31" s="220">
        <f>'[7]Allocation Sheet'!$N$12+'[7]Allocation Sheet'!$N$32-C31</f>
        <v>78714.999999999985</v>
      </c>
      <c r="E31" s="220">
        <f>SUM(B31:D31)</f>
        <v>184379.55</v>
      </c>
      <c r="F31" s="237">
        <f>[7]Expenditure!$D$18+[7]Expenditure!$E$18+[7]Expenditure!$P$22</f>
        <v>82608.990000000005</v>
      </c>
      <c r="G31" s="221">
        <f>F31/(F$35-F$34)</f>
        <v>0.1454287766665521</v>
      </c>
      <c r="H31" s="238">
        <f>E31-F31</f>
        <v>101770.55999999998</v>
      </c>
      <c r="I31" s="239">
        <f>'7-01-2023 to 6-30-2024'!C59</f>
        <v>59711.049248557967</v>
      </c>
      <c r="J31" s="240">
        <f>I31/I$35</f>
        <v>0.14304984102401236</v>
      </c>
      <c r="K31" s="241">
        <f>H31+I31-F31</f>
        <v>78872.619248557938</v>
      </c>
      <c r="L31" s="6"/>
      <c r="M31" s="236">
        <f>I$35*G31</f>
        <v>60704.051004407498</v>
      </c>
      <c r="N31" s="240">
        <f>M31/M$35</f>
        <v>0.1454287766665521</v>
      </c>
      <c r="O31" s="242">
        <f>H31+M31-F31</f>
        <v>79865.621004407483</v>
      </c>
      <c r="Q31" s="240">
        <f>N31-J31</f>
        <v>2.3789356425397423E-3</v>
      </c>
    </row>
    <row r="32" spans="1:20" x14ac:dyDescent="0.2">
      <c r="A32" s="219" t="s">
        <v>9</v>
      </c>
      <c r="B32" s="220"/>
      <c r="C32" s="220">
        <f>'[8]Allocation Sheet'!$C$12+'[8]Allocation Sheet'!$N$32</f>
        <v>66895.8</v>
      </c>
      <c r="D32" s="220">
        <f>'[8]Allocation Sheet'!$N$12+'[8]Allocation Sheet'!$N$32-C32</f>
        <v>174083</v>
      </c>
      <c r="E32" s="220">
        <f>SUM(B32:D32)</f>
        <v>240978.8</v>
      </c>
      <c r="F32" s="237">
        <f>[8]Expenditure!$D$18+[8]Expenditure!$E$18+[8]Expenditure!$P$18</f>
        <v>176824.34000000003</v>
      </c>
      <c r="G32" s="221">
        <f>F32/(F$35-F$34)</f>
        <v>0.31128993891670242</v>
      </c>
      <c r="H32" s="238">
        <f>E32-F32</f>
        <v>64154.459999999963</v>
      </c>
      <c r="I32" s="239">
        <f>'7-01-2023 to 6-30-2024'!C60</f>
        <v>44485.007254426208</v>
      </c>
      <c r="J32" s="240">
        <f>I32/I$35</f>
        <v>0.10657279173253495</v>
      </c>
      <c r="K32" s="244">
        <f>H32+I32-F32</f>
        <v>-68184.872745573855</v>
      </c>
      <c r="L32" s="6"/>
      <c r="M32" s="236">
        <f>I$35*G32</f>
        <v>129936.87193343842</v>
      </c>
      <c r="N32" s="240">
        <f>M32/M$35</f>
        <v>0.31128993891670242</v>
      </c>
      <c r="O32" s="242">
        <f>H32+M32-F32</f>
        <v>17266.991933438345</v>
      </c>
      <c r="Q32" s="240">
        <f>N32-J32</f>
        <v>0.20471714718416748</v>
      </c>
    </row>
    <row r="33" spans="1:20" x14ac:dyDescent="0.2">
      <c r="A33" s="219" t="s">
        <v>10</v>
      </c>
      <c r="B33" s="220"/>
      <c r="C33" s="220">
        <f>'[9]Allocation Sheet'!$C$12+'[9]Allocation Sheet'!$N$32</f>
        <v>335609.69</v>
      </c>
      <c r="D33" s="220">
        <f>'[9]Allocation Sheet'!$N$12+'[9]Allocation Sheet'!$N$32-C33</f>
        <v>218608.00000000006</v>
      </c>
      <c r="E33" s="220">
        <f>SUM(B33:D33)</f>
        <v>554217.69000000006</v>
      </c>
      <c r="F33" s="237">
        <f>[9]Expenditure!$D$18+[9]Expenditure!$E$18+[9]Expenditure!$P$18</f>
        <v>228845.18000000002</v>
      </c>
      <c r="G33" s="221">
        <f>F33/(F$35-F$34)</f>
        <v>0.40286988829468706</v>
      </c>
      <c r="H33" s="238">
        <f>E33-F33</f>
        <v>325372.51</v>
      </c>
      <c r="I33" s="239">
        <f>'7-01-2023 to 6-30-2024'!C61</f>
        <v>246528.71574278647</v>
      </c>
      <c r="J33" s="240">
        <f>I33/I$35</f>
        <v>0.59060917600122753</v>
      </c>
      <c r="K33" s="241">
        <f>H33+I33-F33</f>
        <v>343056.04574278637</v>
      </c>
      <c r="L33" s="6"/>
      <c r="M33" s="236">
        <f>I$35*G33</f>
        <v>168163.65239222531</v>
      </c>
      <c r="N33" s="240">
        <f>M33/M$35</f>
        <v>0.40286988829468706</v>
      </c>
      <c r="O33" s="242">
        <f>H33+M33-F33</f>
        <v>264690.9823922253</v>
      </c>
      <c r="Q33" s="240">
        <f>N33-J33</f>
        <v>-0.18773928770654047</v>
      </c>
    </row>
    <row r="34" spans="1:20" ht="13.5" thickBot="1" x14ac:dyDescent="0.25">
      <c r="A34" s="219" t="s">
        <v>11</v>
      </c>
      <c r="B34" s="222"/>
      <c r="C34" s="222">
        <f>'[10]Allocation Sheet'!$C$12+'[10]Allocation Sheet'!$N$32</f>
        <v>32000</v>
      </c>
      <c r="D34" s="222">
        <f>'[10]Allocation Sheet'!$N$12+'[10]Allocation Sheet'!$N$32-C34</f>
        <v>0</v>
      </c>
      <c r="E34" s="222">
        <f>SUM(B34:D34)</f>
        <v>32000</v>
      </c>
      <c r="F34" s="245">
        <f>[10]Expenditure!$D$19+[10]Expenditure!$E$19</f>
        <v>32000</v>
      </c>
      <c r="G34" s="222"/>
      <c r="H34" s="246">
        <f>E34-F34</f>
        <v>0</v>
      </c>
      <c r="I34" s="247" t="s">
        <v>231</v>
      </c>
      <c r="J34" s="248"/>
      <c r="K34" s="246"/>
      <c r="L34" s="6"/>
      <c r="M34" s="249" t="s">
        <v>231</v>
      </c>
      <c r="N34" s="248"/>
      <c r="O34" s="246"/>
      <c r="Q34" s="240"/>
      <c r="S34" s="243"/>
      <c r="T34" s="243"/>
    </row>
    <row r="35" spans="1:20" ht="13.5" thickBot="1" x14ac:dyDescent="0.25">
      <c r="A35" s="224" t="s">
        <v>236</v>
      </c>
      <c r="B35" s="222">
        <f t="shared" ref="B35:H35" si="6">SUM(B30:B34)</f>
        <v>0</v>
      </c>
      <c r="C35" s="222">
        <f t="shared" si="6"/>
        <v>644663.9</v>
      </c>
      <c r="D35" s="222">
        <f t="shared" si="6"/>
        <v>508629.00000000006</v>
      </c>
      <c r="E35" s="222">
        <f t="shared" si="6"/>
        <v>1153292.8999999999</v>
      </c>
      <c r="F35" s="245">
        <f t="shared" si="6"/>
        <v>600037.44000000006</v>
      </c>
      <c r="G35" s="222"/>
      <c r="H35" s="246">
        <f t="shared" si="6"/>
        <v>553255.46</v>
      </c>
      <c r="I35" s="251">
        <f>SUM(I30:I34)</f>
        <v>417414.29994693154</v>
      </c>
      <c r="J35" s="222"/>
      <c r="K35" s="246">
        <f>SUM(K30:K34)</f>
        <v>402632.31994693133</v>
      </c>
      <c r="L35" s="6"/>
      <c r="M35" s="252">
        <f>SUM(M30:M34)</f>
        <v>417414.29994693154</v>
      </c>
      <c r="N35" s="222"/>
      <c r="O35" s="246">
        <f>SUM(O30:O34)</f>
        <v>402632.31994693144</v>
      </c>
      <c r="P35" s="258" t="s">
        <v>237</v>
      </c>
      <c r="Q35" s="259"/>
      <c r="R35" s="174"/>
    </row>
    <row r="36" spans="1:20" ht="13.5" hidden="1" thickBot="1" x14ac:dyDescent="0.25">
      <c r="A36" s="260"/>
      <c r="B36" s="220"/>
      <c r="C36" s="220"/>
      <c r="D36" s="254"/>
      <c r="E36" s="220"/>
      <c r="F36" s="237"/>
      <c r="G36" s="220"/>
      <c r="H36" s="238"/>
      <c r="I36" s="261"/>
      <c r="J36" s="262"/>
      <c r="K36" s="263"/>
      <c r="L36" s="6"/>
      <c r="M36" s="236"/>
      <c r="N36" s="262"/>
      <c r="O36" s="242"/>
      <c r="P36" s="177"/>
      <c r="Q36" s="240"/>
      <c r="R36" s="176"/>
    </row>
    <row r="37" spans="1:20" ht="16.5" x14ac:dyDescent="0.25">
      <c r="A37" s="233" t="s">
        <v>238</v>
      </c>
      <c r="B37" s="264"/>
      <c r="C37" s="217"/>
      <c r="D37" s="217"/>
      <c r="E37" s="217"/>
      <c r="F37" s="255"/>
      <c r="G37" s="216"/>
      <c r="H37" s="235"/>
      <c r="I37" s="261"/>
      <c r="J37" s="262"/>
      <c r="K37" s="263"/>
      <c r="L37" s="6"/>
      <c r="M37" s="236"/>
      <c r="N37" s="262"/>
      <c r="O37" s="242"/>
      <c r="P37" s="177"/>
      <c r="Q37" s="265" t="s">
        <v>239</v>
      </c>
      <c r="R37" s="176"/>
    </row>
    <row r="38" spans="1:20" x14ac:dyDescent="0.2">
      <c r="A38" s="219" t="s">
        <v>7</v>
      </c>
      <c r="B38" s="220"/>
      <c r="C38" s="220"/>
      <c r="D38" s="220">
        <f>'[6]Allocation Sheet'!$N$14+'[6]Allocation Sheet'!$N$15+'[6]Allocation Sheet'!$N$16</f>
        <v>0</v>
      </c>
      <c r="E38" s="220">
        <f>SUM(B38:D38)</f>
        <v>0</v>
      </c>
      <c r="F38" s="266"/>
      <c r="G38" s="267"/>
      <c r="H38" s="238">
        <f>E38-F38</f>
        <v>0</v>
      </c>
      <c r="I38" s="261">
        <f>'7-01-2023 to 6-30-2024'!C8+'7-01-2023 to 6-30-2024'!C27+'7-01-2023 to 6-30-2024'!C48</f>
        <v>9859.5075080782663</v>
      </c>
      <c r="J38" s="262"/>
      <c r="K38" s="241">
        <f>H38+I38-F38</f>
        <v>9859.5075080782663</v>
      </c>
      <c r="L38" s="6"/>
      <c r="M38" s="236"/>
      <c r="N38" s="262"/>
      <c r="O38" s="242"/>
      <c r="P38" s="177"/>
      <c r="Q38" s="265" t="s">
        <v>240</v>
      </c>
      <c r="R38" s="176"/>
    </row>
    <row r="39" spans="1:20" x14ac:dyDescent="0.2">
      <c r="A39" s="219" t="s">
        <v>8</v>
      </c>
      <c r="B39" s="220"/>
      <c r="C39" s="220"/>
      <c r="D39" s="220">
        <f>'[7]Allocation Sheet'!$N$14+'[7]Allocation Sheet'!$N$15+'[7]Allocation Sheet'!$N$16</f>
        <v>0</v>
      </c>
      <c r="E39" s="220">
        <f>SUM(B39:D39)</f>
        <v>0</v>
      </c>
      <c r="F39" s="266"/>
      <c r="G39" s="267"/>
      <c r="H39" s="238">
        <f>E39-F39</f>
        <v>0</v>
      </c>
      <c r="I39" s="261">
        <f>'7-01-2023 to 6-30-2024'!C9+'7-01-2023 to 6-30-2024'!C28+'7-01-2023 to 6-30-2024'!C49</f>
        <v>7952.3173453819709</v>
      </c>
      <c r="J39" s="262"/>
      <c r="K39" s="241">
        <f>H39+I39-F39</f>
        <v>7952.3173453819709</v>
      </c>
      <c r="L39" s="6"/>
      <c r="M39" s="236"/>
      <c r="N39" s="262"/>
      <c r="O39" s="242"/>
      <c r="P39" s="177"/>
      <c r="Q39" s="265" t="s">
        <v>241</v>
      </c>
      <c r="R39" s="176"/>
    </row>
    <row r="40" spans="1:20" x14ac:dyDescent="0.2">
      <c r="A40" s="219" t="s">
        <v>9</v>
      </c>
      <c r="B40" s="220"/>
      <c r="C40" s="220"/>
      <c r="D40" s="220">
        <f>'[8]Allocation Sheet'!$N$14+'[8]Allocation Sheet'!$N$15+'[8]Allocation Sheet'!$N$16</f>
        <v>0</v>
      </c>
      <c r="E40" s="220">
        <f>SUM(B40:D40)</f>
        <v>0</v>
      </c>
      <c r="F40" s="266"/>
      <c r="G40" s="267"/>
      <c r="H40" s="238">
        <f>E40-F40</f>
        <v>0</v>
      </c>
      <c r="I40" s="261">
        <f>'7-01-2023 to 6-30-2024'!C10+'7-01-2023 to 6-30-2024'!C29+'7-01-2023 to 6-30-2024'!C50</f>
        <v>7799.9003314472548</v>
      </c>
      <c r="J40" s="262"/>
      <c r="K40" s="241">
        <f>H40+I40-F40</f>
        <v>7799.9003314472548</v>
      </c>
      <c r="L40" s="6"/>
      <c r="M40" s="236"/>
      <c r="N40" s="262"/>
      <c r="O40" s="242"/>
      <c r="P40" s="177"/>
      <c r="Q40" s="265" t="s">
        <v>242</v>
      </c>
      <c r="R40" s="176"/>
    </row>
    <row r="41" spans="1:20" x14ac:dyDescent="0.2">
      <c r="A41" s="219" t="s">
        <v>10</v>
      </c>
      <c r="B41" s="220"/>
      <c r="C41" s="220"/>
      <c r="D41" s="220">
        <f>'[9]Allocation Sheet'!$N$14+'[9]Allocation Sheet'!$N$15+'[9]Allocation Sheet'!$N$16</f>
        <v>0</v>
      </c>
      <c r="E41" s="220">
        <f>SUM(B41:D41)</f>
        <v>0</v>
      </c>
      <c r="F41" s="266"/>
      <c r="G41" s="267"/>
      <c r="H41" s="238">
        <f>E41-F41</f>
        <v>0</v>
      </c>
      <c r="I41" s="261">
        <f>'7-01-2023 to 6-30-2024'!C11+'7-01-2023 to 6-30-2024'!C30+'7-01-2023 to 6-30-2024'!C51</f>
        <v>26072.129954339274</v>
      </c>
      <c r="J41" s="262"/>
      <c r="K41" s="241">
        <f>H41+I41-F41</f>
        <v>26072.129954339274</v>
      </c>
      <c r="L41" s="6"/>
      <c r="M41" s="236"/>
      <c r="N41" s="262"/>
      <c r="O41" s="242"/>
      <c r="P41" s="177"/>
      <c r="Q41" s="265" t="s">
        <v>243</v>
      </c>
      <c r="R41" s="176"/>
    </row>
    <row r="42" spans="1:20" ht="13.5" thickBot="1" x14ac:dyDescent="0.25">
      <c r="A42" s="219" t="s">
        <v>11</v>
      </c>
      <c r="B42" s="220"/>
      <c r="C42" s="222">
        <f>'[10]Allocation Sheet'!$C$14+'[10]Allocation Sheet'!$C$15+'[10]Allocation Sheet'!$C$16</f>
        <v>197407.53</v>
      </c>
      <c r="D42" s="222">
        <f>'[10]Allocation Sheet'!$D$17+'[10]Allocation Sheet'!$E$17+'[10]Allocation Sheet'!$F$14+'[10]Allocation Sheet'!$F$15+'[10]Allocation Sheet'!$F$16</f>
        <v>156540</v>
      </c>
      <c r="E42" s="222">
        <f>SUM(B42:D42)</f>
        <v>353947.53</v>
      </c>
      <c r="F42" s="245">
        <f>[10]Expenditure!$I$3</f>
        <v>197415.13</v>
      </c>
      <c r="G42" s="222"/>
      <c r="H42" s="246">
        <f>E42-F42</f>
        <v>156532.40000000002</v>
      </c>
      <c r="I42" s="251">
        <f>'7-01-2023 to 6-30-2024'!C12+'7-01-2023 to 6-30-2024'!C31+'7-01-2023 to 6-30-2024'!C52</f>
        <v>77525.782708870145</v>
      </c>
      <c r="J42" s="222"/>
      <c r="K42" s="246">
        <f>H42+I42-F42</f>
        <v>36643.052708870149</v>
      </c>
      <c r="L42" s="6"/>
      <c r="M42" s="252">
        <f>I43</f>
        <v>129209.63784811691</v>
      </c>
      <c r="N42" s="222"/>
      <c r="O42" s="246">
        <f>H42+M42-F42</f>
        <v>88326.907848116942</v>
      </c>
      <c r="P42" s="268"/>
      <c r="Q42" s="269" t="s">
        <v>244</v>
      </c>
      <c r="R42" s="179"/>
    </row>
    <row r="43" spans="1:20" ht="13.5" thickBot="1" x14ac:dyDescent="0.25">
      <c r="A43" s="224" t="s">
        <v>245</v>
      </c>
      <c r="B43" s="222"/>
      <c r="C43" s="222">
        <f>SUM(C38:C42)</f>
        <v>197407.53</v>
      </c>
      <c r="D43" s="222">
        <f>SUM(D38:D42)</f>
        <v>156540</v>
      </c>
      <c r="E43" s="222">
        <f>SUM(E38:E42)</f>
        <v>353947.53</v>
      </c>
      <c r="F43" s="245">
        <f>SUM(F38:F42)</f>
        <v>197415.13</v>
      </c>
      <c r="G43" s="222"/>
      <c r="H43" s="246">
        <f>SUM(H38:H42)</f>
        <v>156532.40000000002</v>
      </c>
      <c r="I43" s="251">
        <f>SUM(I38:I42)</f>
        <v>129209.63784811691</v>
      </c>
      <c r="J43" s="222"/>
      <c r="K43" s="246">
        <f>SUM(K38:K42)</f>
        <v>88326.907848116913</v>
      </c>
      <c r="L43" s="6"/>
      <c r="M43" s="252">
        <f>SUM(M38:M42)</f>
        <v>129209.63784811691</v>
      </c>
      <c r="N43" s="222"/>
      <c r="O43" s="246">
        <f>SUM(O38:O42)</f>
        <v>88326.907848116942</v>
      </c>
      <c r="P43" s="258" t="s">
        <v>246</v>
      </c>
      <c r="Q43" s="259"/>
      <c r="R43" s="174"/>
    </row>
    <row r="44" spans="1:20" s="146" customFormat="1" hidden="1" x14ac:dyDescent="0.2">
      <c r="A44" s="146" t="s">
        <v>247</v>
      </c>
      <c r="B44" s="270">
        <f t="shared" ref="B44:H44" si="7">B19+B27+B35+B43</f>
        <v>0</v>
      </c>
      <c r="C44" s="270">
        <f t="shared" si="7"/>
        <v>1954643.99</v>
      </c>
      <c r="D44" s="270">
        <f t="shared" si="7"/>
        <v>1565403</v>
      </c>
      <c r="E44" s="270">
        <f t="shared" si="7"/>
        <v>3520046.99</v>
      </c>
      <c r="F44" s="271">
        <f t="shared" si="7"/>
        <v>1946805.2999999998</v>
      </c>
      <c r="G44" s="270"/>
      <c r="H44" s="272">
        <f t="shared" si="7"/>
        <v>1573241.69</v>
      </c>
      <c r="I44" s="273"/>
      <c r="J44" s="274"/>
      <c r="K44" s="275"/>
      <c r="L44" s="6"/>
      <c r="M44" s="276"/>
      <c r="N44" s="274"/>
      <c r="O44" s="277"/>
      <c r="P44" s="278"/>
      <c r="Q44" s="240"/>
      <c r="R44" s="277"/>
    </row>
    <row r="45" spans="1:20" hidden="1" x14ac:dyDescent="0.2">
      <c r="A45" s="146"/>
      <c r="B45" s="220"/>
      <c r="C45" s="220"/>
      <c r="D45" s="254"/>
      <c r="E45" s="220"/>
      <c r="F45" s="237"/>
      <c r="G45" s="220"/>
      <c r="H45" s="238"/>
      <c r="I45" s="279"/>
      <c r="J45" s="280"/>
      <c r="K45" s="263"/>
      <c r="L45" s="6"/>
      <c r="M45" s="236"/>
      <c r="N45" s="280"/>
      <c r="O45" s="176"/>
      <c r="P45" s="177"/>
      <c r="Q45" s="240"/>
      <c r="R45" s="176"/>
    </row>
    <row r="46" spans="1:20" x14ac:dyDescent="0.2">
      <c r="F46" s="237"/>
      <c r="G46" s="6"/>
      <c r="H46" s="176"/>
      <c r="I46" s="177"/>
      <c r="K46" s="176"/>
      <c r="L46" s="6"/>
      <c r="M46" s="236"/>
      <c r="O46" s="281"/>
      <c r="P46" s="282" t="s">
        <v>248</v>
      </c>
      <c r="Q46" s="240"/>
      <c r="R46" s="176"/>
      <c r="T46" s="250"/>
    </row>
    <row r="47" spans="1:20" ht="13.5" thickBot="1" x14ac:dyDescent="0.25">
      <c r="F47" s="283">
        <f>F19+F27+F35+F43</f>
        <v>1946805.2999999998</v>
      </c>
      <c r="G47" s="284"/>
      <c r="H47" s="285">
        <f>H19+H27+H35+H43</f>
        <v>1573241.69</v>
      </c>
      <c r="I47" s="283">
        <f>I19+I27+I35+I43</f>
        <v>1292096.3784811692</v>
      </c>
      <c r="J47" s="284"/>
      <c r="K47" s="285">
        <f>K19+K27+K35+K43</f>
        <v>1057781.0184811689</v>
      </c>
      <c r="L47" s="6"/>
      <c r="M47" s="286">
        <f>M19+M27+M35+M43</f>
        <v>1292096.3784811692</v>
      </c>
      <c r="N47" s="284"/>
      <c r="O47" s="285">
        <f>O19+O27+O35+O43</f>
        <v>1057781.0184811689</v>
      </c>
      <c r="P47" s="287" t="s">
        <v>249</v>
      </c>
      <c r="Q47" s="288"/>
      <c r="R47" s="179"/>
      <c r="T47" s="250"/>
    </row>
    <row r="48" spans="1:20" x14ac:dyDescent="0.2">
      <c r="K48" s="6"/>
      <c r="L48" s="6"/>
      <c r="M48" s="289"/>
      <c r="O48" s="23"/>
      <c r="T48" s="250"/>
    </row>
    <row r="49" spans="8:20" x14ac:dyDescent="0.2">
      <c r="H49" t="s">
        <v>250</v>
      </c>
      <c r="I49" s="6">
        <f>I47+H47</f>
        <v>2865338.0684811692</v>
      </c>
      <c r="J49" s="6"/>
      <c r="L49" s="6"/>
      <c r="M49" s="289"/>
      <c r="N49" s="6"/>
      <c r="P49" s="250"/>
      <c r="Q49" s="6"/>
      <c r="R49" s="250"/>
      <c r="S49" s="250"/>
      <c r="T49" s="250"/>
    </row>
    <row r="50" spans="8:20" x14ac:dyDescent="0.2">
      <c r="H50" t="s">
        <v>251</v>
      </c>
      <c r="I50" s="6">
        <f>-F47</f>
        <v>-1946805.2999999998</v>
      </c>
      <c r="J50" s="6"/>
      <c r="K50" s="6"/>
      <c r="L50" s="6"/>
      <c r="M50" s="289"/>
      <c r="N50" s="6"/>
      <c r="Q50" s="6"/>
      <c r="S50" s="250"/>
    </row>
    <row r="51" spans="8:20" x14ac:dyDescent="0.2">
      <c r="H51" t="s">
        <v>252</v>
      </c>
      <c r="I51" s="6">
        <f>(-F34-F26-F18)*-1</f>
        <v>139248.25</v>
      </c>
      <c r="J51" s="6"/>
      <c r="M51" s="289"/>
      <c r="N51" s="6"/>
      <c r="Q51" s="6"/>
      <c r="S51" s="250"/>
    </row>
    <row r="52" spans="8:20" ht="13.5" thickBot="1" x14ac:dyDescent="0.25">
      <c r="H52" t="s">
        <v>219</v>
      </c>
      <c r="I52" s="34">
        <f>SUM(I49:I51)</f>
        <v>1057781.0184811694</v>
      </c>
      <c r="J52" s="6"/>
      <c r="M52" s="289"/>
      <c r="N52" s="6"/>
      <c r="Q52" s="6"/>
    </row>
    <row r="53" spans="8:20" ht="13.5" thickTop="1" x14ac:dyDescent="0.2"/>
  </sheetData>
  <mergeCells count="2">
    <mergeCell ref="I2:K2"/>
    <mergeCell ref="M2:O2"/>
  </mergeCells>
  <printOptions horizontalCentered="1"/>
  <pageMargins left="0.75" right="0.75" top="0.78" bottom="0" header="0.5" footer="0.5"/>
  <pageSetup scale="7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72"/>
  <sheetViews>
    <sheetView topLeftCell="J5" zoomScaleNormal="100" workbookViewId="0">
      <pane xSplit="1" ySplit="3" topLeftCell="K8" activePane="bottomRight" state="frozen"/>
      <selection activeCell="J7" sqref="J7"/>
      <selection pane="topRight" activeCell="K7" sqref="K7"/>
      <selection pane="bottomLeft" activeCell="J8" sqref="J8"/>
      <selection pane="bottomRight" activeCell="K10" sqref="K10"/>
    </sheetView>
  </sheetViews>
  <sheetFormatPr defaultColWidth="9.140625" defaultRowHeight="12.75" x14ac:dyDescent="0.2"/>
  <cols>
    <col min="1" max="1" width="16.42578125" hidden="1" customWidth="1"/>
    <col min="2" max="2" width="22.5703125" hidden="1" customWidth="1"/>
    <col min="3" max="3" width="7.28515625" hidden="1" customWidth="1"/>
    <col min="4" max="4" width="15.42578125" hidden="1" customWidth="1"/>
    <col min="5" max="5" width="16.42578125" style="6" hidden="1" customWidth="1"/>
    <col min="6" max="6" width="15.28515625" style="6" hidden="1" customWidth="1"/>
    <col min="7" max="7" width="10.140625" hidden="1" customWidth="1"/>
    <col min="8" max="9" width="0" hidden="1" customWidth="1"/>
    <col min="10" max="10" width="15.7109375" customWidth="1"/>
    <col min="11" max="11" width="16.28515625" customWidth="1"/>
    <col min="12" max="12" width="11.28515625" customWidth="1"/>
    <col min="13" max="13" width="10.5703125" customWidth="1"/>
    <col min="14" max="14" width="11.140625" customWidth="1"/>
    <col min="16" max="16" width="9.85546875" customWidth="1"/>
    <col min="17" max="17" width="10.140625" customWidth="1"/>
    <col min="18" max="20" width="10.5703125" hidden="1" customWidth="1"/>
    <col min="21" max="21" width="11" hidden="1" customWidth="1"/>
    <col min="23" max="23" width="14.42578125" customWidth="1"/>
    <col min="24" max="24" width="11.5703125" style="101" customWidth="1"/>
    <col min="25" max="25" width="14.140625" customWidth="1"/>
    <col min="26" max="26" width="17.42578125" bestFit="1" customWidth="1"/>
  </cols>
  <sheetData>
    <row r="1" spans="1:25" s="7" customFormat="1" ht="21" thickBot="1" x14ac:dyDescent="0.35">
      <c r="D1" s="20" t="s">
        <v>13</v>
      </c>
      <c r="J1" s="15" t="s">
        <v>39</v>
      </c>
      <c r="T1" s="194">
        <f ca="1">NOW()</f>
        <v>45157.674522685185</v>
      </c>
      <c r="U1" s="194"/>
      <c r="X1" s="100"/>
    </row>
    <row r="2" spans="1:25" s="7" customFormat="1" ht="15.75" x14ac:dyDescent="0.25">
      <c r="J2" s="7" t="s">
        <v>97</v>
      </c>
      <c r="N2" s="19"/>
      <c r="X2" s="100"/>
    </row>
    <row r="3" spans="1:25" s="7" customFormat="1" ht="15.75" x14ac:dyDescent="0.25">
      <c r="X3" s="100"/>
    </row>
    <row r="4" spans="1:25" s="7" customFormat="1" ht="15.75" x14ac:dyDescent="0.25">
      <c r="D4" s="41" t="s">
        <v>48</v>
      </c>
      <c r="F4" s="40"/>
      <c r="X4" s="100"/>
    </row>
    <row r="5" spans="1:25" s="7" customFormat="1" ht="15.75" x14ac:dyDescent="0.25">
      <c r="E5" s="40" t="s">
        <v>49</v>
      </c>
      <c r="K5" s="7" t="s">
        <v>101</v>
      </c>
      <c r="P5" s="7" t="s">
        <v>103</v>
      </c>
      <c r="W5" s="7" t="s">
        <v>102</v>
      </c>
      <c r="X5" s="100"/>
    </row>
    <row r="6" spans="1:25" ht="13.5" thickBot="1" x14ac:dyDescent="0.25">
      <c r="A6" t="str">
        <f>D13</f>
        <v xml:space="preserve">Adult Adm </v>
      </c>
      <c r="D6" s="22" t="str">
        <f>D13</f>
        <v xml:space="preserve">Adult Adm </v>
      </c>
      <c r="J6" s="23" t="s">
        <v>68</v>
      </c>
    </row>
    <row r="7" spans="1:25" ht="39" customHeight="1" thickBot="1" x14ac:dyDescent="0.3">
      <c r="A7" s="1" t="s">
        <v>0</v>
      </c>
      <c r="B7" s="1" t="s">
        <v>1</v>
      </c>
      <c r="C7" s="1" t="s">
        <v>2</v>
      </c>
      <c r="D7" s="1" t="s">
        <v>3</v>
      </c>
      <c r="E7" s="4" t="s">
        <v>12</v>
      </c>
      <c r="F7" s="27" t="s">
        <v>22</v>
      </c>
      <c r="J7" s="18" t="s">
        <v>3</v>
      </c>
      <c r="K7" s="54" t="s">
        <v>19</v>
      </c>
      <c r="L7" s="43" t="s">
        <v>99</v>
      </c>
      <c r="M7" s="24" t="s">
        <v>24</v>
      </c>
      <c r="N7" s="24" t="s">
        <v>23</v>
      </c>
      <c r="P7" s="43" t="s">
        <v>40</v>
      </c>
      <c r="Q7" s="43" t="s">
        <v>38</v>
      </c>
      <c r="R7" s="43" t="s">
        <v>37</v>
      </c>
      <c r="S7" s="42" t="s">
        <v>31</v>
      </c>
      <c r="T7" s="42" t="s">
        <v>34</v>
      </c>
      <c r="U7" s="42" t="s">
        <v>35</v>
      </c>
      <c r="W7" s="37" t="s">
        <v>92</v>
      </c>
      <c r="X7" s="102" t="s">
        <v>98</v>
      </c>
      <c r="Y7" s="35" t="s">
        <v>87</v>
      </c>
    </row>
    <row r="8" spans="1:25" ht="12.75" customHeight="1" x14ac:dyDescent="0.2">
      <c r="A8" s="2" t="s">
        <v>5</v>
      </c>
      <c r="B8" s="2" t="s">
        <v>6</v>
      </c>
      <c r="C8" s="2">
        <v>56</v>
      </c>
      <c r="D8" s="2" t="s">
        <v>7</v>
      </c>
      <c r="E8" s="5">
        <f>'Sara Ballard eml 6-5-18'!G5*0.04</f>
        <v>3779.9924565869383</v>
      </c>
      <c r="F8" s="17">
        <f t="shared" ref="F8:F13" si="0">E8/E$13</f>
        <v>7.5087102551042673E-2</v>
      </c>
      <c r="J8" s="2" t="s">
        <v>7</v>
      </c>
      <c r="K8" s="55">
        <f>W8+X8</f>
        <v>4812.8006768596715</v>
      </c>
      <c r="L8" s="45">
        <v>3779.9924565869383</v>
      </c>
      <c r="M8" s="8">
        <f t="shared" ref="M8:M13" si="1">K8-L8</f>
        <v>1032.8082202727333</v>
      </c>
      <c r="N8" s="9">
        <f t="shared" ref="N8:N13" si="2">-1+(K8/L8)</f>
        <v>0.27323023316434991</v>
      </c>
      <c r="P8" s="45">
        <v>4096.2880000000005</v>
      </c>
      <c r="Q8" s="45">
        <v>2727.15</v>
      </c>
      <c r="R8" s="45">
        <v>2179.92</v>
      </c>
      <c r="S8" s="8">
        <v>1475.6759999999999</v>
      </c>
      <c r="T8" s="8">
        <v>1290.7760000000001</v>
      </c>
      <c r="U8" s="25">
        <v>1695</v>
      </c>
      <c r="W8" s="32">
        <f>'Scott 5-29-19'!H7*0.04</f>
        <v>762.04895467294682</v>
      </c>
      <c r="X8" s="32">
        <f>'Scott 5-29-19'!I7*0.04</f>
        <v>4050.7517221867242</v>
      </c>
      <c r="Y8" s="32">
        <f>W8+X8</f>
        <v>4812.8006768596715</v>
      </c>
    </row>
    <row r="9" spans="1:25" ht="12.75" customHeight="1" x14ac:dyDescent="0.2">
      <c r="A9" s="2" t="s">
        <v>5</v>
      </c>
      <c r="B9" s="2" t="s">
        <v>6</v>
      </c>
      <c r="C9" s="2">
        <v>58</v>
      </c>
      <c r="D9" s="2" t="s">
        <v>8</v>
      </c>
      <c r="E9" s="5">
        <f>'Sara Ballard eml 6-5-18'!G6*0.04</f>
        <v>3149.895909943019</v>
      </c>
      <c r="F9" s="17">
        <f t="shared" si="0"/>
        <v>6.2570642648466776E-2</v>
      </c>
      <c r="J9" s="2" t="s">
        <v>8</v>
      </c>
      <c r="K9" s="55">
        <f t="shared" ref="K9:K12" si="3">W9+X9</f>
        <v>3820.5404867807806</v>
      </c>
      <c r="L9" s="45">
        <v>3149.895909943019</v>
      </c>
      <c r="M9" s="8">
        <f t="shared" si="1"/>
        <v>670.64457683776163</v>
      </c>
      <c r="N9" s="9">
        <f t="shared" si="2"/>
        <v>0.21291007576497778</v>
      </c>
      <c r="P9" s="45">
        <v>3044.8360000000002</v>
      </c>
      <c r="Q9" s="45">
        <v>2041.86</v>
      </c>
      <c r="R9" s="45">
        <v>1930.124</v>
      </c>
      <c r="S9" s="8">
        <v>1748.856</v>
      </c>
      <c r="T9" s="8">
        <v>1662.6520000000003</v>
      </c>
      <c r="U9" s="25">
        <v>1972</v>
      </c>
      <c r="W9" s="32">
        <f>'Scott 5-29-19'!H8*0.04</f>
        <v>604.93651819727245</v>
      </c>
      <c r="X9" s="32">
        <f>'Scott 5-29-19'!I8*0.04</f>
        <v>3215.603968583508</v>
      </c>
      <c r="Y9" s="32">
        <f t="shared" ref="Y9:Y12" si="4">W9+X9</f>
        <v>3820.5404867807806</v>
      </c>
    </row>
    <row r="10" spans="1:25" ht="12.75" customHeight="1" x14ac:dyDescent="0.2">
      <c r="A10" s="2" t="s">
        <v>5</v>
      </c>
      <c r="B10" s="2" t="s">
        <v>6</v>
      </c>
      <c r="C10" s="2">
        <v>61</v>
      </c>
      <c r="D10" s="2" t="s">
        <v>9</v>
      </c>
      <c r="E10" s="5">
        <f>'Sara Ballard eml 6-5-18'!G7*0.04</f>
        <v>2943.5529483525506</v>
      </c>
      <c r="F10" s="17">
        <f t="shared" si="0"/>
        <v>5.8471773326484303E-2</v>
      </c>
      <c r="J10" s="2" t="s">
        <v>9</v>
      </c>
      <c r="K10" s="55">
        <f t="shared" si="3"/>
        <v>3717.9789092758988</v>
      </c>
      <c r="L10" s="45">
        <v>2943.5529483525506</v>
      </c>
      <c r="M10" s="8">
        <f t="shared" si="1"/>
        <v>774.42596092334816</v>
      </c>
      <c r="N10" s="9">
        <f t="shared" si="2"/>
        <v>0.26309224753601912</v>
      </c>
      <c r="P10" s="45">
        <v>2774.6560000000004</v>
      </c>
      <c r="Q10" s="45">
        <v>1894.69</v>
      </c>
      <c r="R10" s="45">
        <v>1853.5120000000002</v>
      </c>
      <c r="S10" s="8">
        <v>1825.048</v>
      </c>
      <c r="T10" s="8">
        <v>1863.7840000000001</v>
      </c>
      <c r="U10" s="25">
        <v>1893</v>
      </c>
      <c r="W10" s="32">
        <f>'Scott 5-29-19'!H9*0.04</f>
        <v>588.69712908170231</v>
      </c>
      <c r="X10" s="32">
        <f>'Scott 5-29-19'!I9*0.04</f>
        <v>3129.2817801941965</v>
      </c>
      <c r="Y10" s="32">
        <f t="shared" si="4"/>
        <v>3717.9789092758988</v>
      </c>
    </row>
    <row r="11" spans="1:25" ht="12.75" customHeight="1" x14ac:dyDescent="0.2">
      <c r="A11" s="2" t="s">
        <v>5</v>
      </c>
      <c r="B11" s="2" t="s">
        <v>6</v>
      </c>
      <c r="C11" s="2">
        <v>84</v>
      </c>
      <c r="D11" s="2" t="s">
        <v>10</v>
      </c>
      <c r="E11" s="5">
        <f>'Sara Ballard eml 6-5-18'!G8*0.04</f>
        <v>10263.132494274008</v>
      </c>
      <c r="F11" s="17">
        <f t="shared" si="0"/>
        <v>0.2038704814740063</v>
      </c>
      <c r="J11" s="2" t="s">
        <v>10</v>
      </c>
      <c r="K11" s="55">
        <f t="shared" si="3"/>
        <v>11859.142707399747</v>
      </c>
      <c r="L11" s="45">
        <v>10263.132494274008</v>
      </c>
      <c r="M11" s="8">
        <f t="shared" si="1"/>
        <v>1596.010213125739</v>
      </c>
      <c r="N11" s="9">
        <f t="shared" si="2"/>
        <v>0.15550907230479405</v>
      </c>
      <c r="P11" s="45">
        <v>8599.6200000000008</v>
      </c>
      <c r="Q11" s="45">
        <v>5306.02</v>
      </c>
      <c r="R11" s="45">
        <v>4768.4340000000002</v>
      </c>
      <c r="S11" s="8">
        <v>4603.01</v>
      </c>
      <c r="T11" s="8">
        <v>4897.1880000000001</v>
      </c>
      <c r="U11" s="25">
        <v>5732</v>
      </c>
      <c r="W11" s="32">
        <f>'Scott 5-29-19'!H10*0.04</f>
        <v>1877.7522507722133</v>
      </c>
      <c r="X11" s="32">
        <f>'Scott 5-29-19'!I10*0.04</f>
        <v>9981.3904566275341</v>
      </c>
      <c r="Y11" s="32">
        <f t="shared" si="4"/>
        <v>11859.142707399747</v>
      </c>
    </row>
    <row r="12" spans="1:25" ht="12.75" customHeight="1" thickBot="1" x14ac:dyDescent="0.25">
      <c r="A12" s="3"/>
      <c r="B12" s="3"/>
      <c r="C12" s="3"/>
      <c r="D12" s="2" t="s">
        <v>11</v>
      </c>
      <c r="E12" s="12">
        <f>'Sara Ballard eml 6-5-18'!G9*0.06</f>
        <v>30204.860713734772</v>
      </c>
      <c r="F12" s="17">
        <f t="shared" si="0"/>
        <v>0.6</v>
      </c>
      <c r="J12" s="2" t="s">
        <v>11</v>
      </c>
      <c r="K12" s="55">
        <f t="shared" si="3"/>
        <v>36315.694170474148</v>
      </c>
      <c r="L12" s="45">
        <v>30204.860713734772</v>
      </c>
      <c r="M12" s="8">
        <f t="shared" si="1"/>
        <v>6110.8334567393758</v>
      </c>
      <c r="N12" s="9">
        <f t="shared" si="2"/>
        <v>0.20231291627710291</v>
      </c>
      <c r="P12" s="45">
        <v>27773.599999999999</v>
      </c>
      <c r="Q12" s="45">
        <v>17954.28</v>
      </c>
      <c r="R12" s="45">
        <v>16098</v>
      </c>
      <c r="S12" s="8">
        <v>14480.4</v>
      </c>
      <c r="T12" s="8">
        <v>14571.6</v>
      </c>
      <c r="U12" s="25">
        <v>16938</v>
      </c>
      <c r="W12" s="32">
        <f>'Scott 5-29-19'!H11*0.06</f>
        <v>5750.1522790862018</v>
      </c>
      <c r="X12" s="32">
        <f>'Scott 5-29-19'!I11*0.06</f>
        <v>30565.541891387944</v>
      </c>
      <c r="Y12" s="32">
        <f t="shared" si="4"/>
        <v>36315.694170474148</v>
      </c>
    </row>
    <row r="13" spans="1:25" ht="12.75" customHeight="1" thickBot="1" x14ac:dyDescent="0.25">
      <c r="D13" s="21" t="s">
        <v>15</v>
      </c>
      <c r="E13" s="49">
        <f>SUM(E8:E12)</f>
        <v>50341.434522891286</v>
      </c>
      <c r="F13" s="48">
        <f t="shared" si="0"/>
        <v>1</v>
      </c>
      <c r="K13" s="56">
        <f>SUM(K8:K12)</f>
        <v>60526.156950790246</v>
      </c>
      <c r="L13" s="11">
        <f>SUM(L8:L12)</f>
        <v>50341.434522891286</v>
      </c>
      <c r="M13" s="8">
        <f t="shared" si="1"/>
        <v>10184.72242789896</v>
      </c>
      <c r="N13" s="9">
        <f t="shared" si="2"/>
        <v>0.20231291627710291</v>
      </c>
      <c r="P13" s="45">
        <f t="shared" ref="P13:U13" si="5">SUM(P8:P12)</f>
        <v>46289</v>
      </c>
      <c r="Q13" s="45">
        <f t="shared" si="5"/>
        <v>29924</v>
      </c>
      <c r="R13" s="45">
        <f t="shared" si="5"/>
        <v>26829.99</v>
      </c>
      <c r="S13" s="11">
        <f t="shared" si="5"/>
        <v>24132.989999999998</v>
      </c>
      <c r="T13" s="11">
        <f t="shared" si="5"/>
        <v>24286</v>
      </c>
      <c r="U13" s="26">
        <f t="shared" si="5"/>
        <v>28230</v>
      </c>
      <c r="W13" s="118">
        <f t="shared" ref="W13:X13" si="6">SUM(W8:W12)</f>
        <v>9583.5871318103364</v>
      </c>
      <c r="X13" s="119">
        <f t="shared" si="6"/>
        <v>50942.569818979908</v>
      </c>
      <c r="Y13" s="118">
        <f>SUM(Y8:Y12)</f>
        <v>60526.156950790246</v>
      </c>
    </row>
    <row r="14" spans="1:25" ht="12.75" customHeight="1" x14ac:dyDescent="0.2">
      <c r="D14" s="3"/>
      <c r="K14" s="32"/>
      <c r="M14" s="13"/>
      <c r="N14" s="14"/>
      <c r="S14" s="13"/>
      <c r="T14" s="13"/>
      <c r="W14" s="32"/>
      <c r="X14" s="107"/>
      <c r="Y14" s="32">
        <f>'Scott 5-29-19'!G11*0.1</f>
        <v>60526.156950790253</v>
      </c>
    </row>
    <row r="15" spans="1:25" ht="17.25" customHeight="1" thickBot="1" x14ac:dyDescent="0.3">
      <c r="D15" s="3"/>
      <c r="J15" s="7" t="s">
        <v>16</v>
      </c>
      <c r="K15" s="32"/>
      <c r="W15" s="96"/>
    </row>
    <row r="16" spans="1:25" ht="12.75" hidden="1" customHeight="1" thickBot="1" x14ac:dyDescent="0.25">
      <c r="D16" s="22" t="str">
        <f>D22</f>
        <v xml:space="preserve">Adult </v>
      </c>
      <c r="K16" s="53">
        <f>483473*0.9</f>
        <v>435125.7</v>
      </c>
    </row>
    <row r="17" spans="1:25" ht="42" customHeight="1" thickBot="1" x14ac:dyDescent="0.3">
      <c r="A17" s="1" t="s">
        <v>0</v>
      </c>
      <c r="B17" s="1" t="s">
        <v>1</v>
      </c>
      <c r="C17" s="1" t="s">
        <v>2</v>
      </c>
      <c r="D17" s="1" t="s">
        <v>3</v>
      </c>
      <c r="E17" s="4" t="s">
        <v>12</v>
      </c>
      <c r="F17" s="27" t="s">
        <v>22</v>
      </c>
      <c r="J17" s="18" t="s">
        <v>3</v>
      </c>
      <c r="K17" s="54" t="s">
        <v>19</v>
      </c>
      <c r="L17" s="43" t="str">
        <f>L7</f>
        <v>PY18 &amp; FY19 Actual</v>
      </c>
      <c r="M17" s="24" t="s">
        <v>24</v>
      </c>
      <c r="N17" s="24" t="s">
        <v>23</v>
      </c>
      <c r="P17" s="43" t="str">
        <f>P7</f>
        <v>PY17 &amp; FY18 Actual</v>
      </c>
      <c r="Q17" s="43" t="s">
        <v>38</v>
      </c>
      <c r="R17" s="43" t="s">
        <v>37</v>
      </c>
      <c r="S17" s="42" t="s">
        <v>31</v>
      </c>
      <c r="T17" s="42" t="s">
        <v>34</v>
      </c>
      <c r="U17" s="42" t="s">
        <v>35</v>
      </c>
      <c r="W17" s="37" t="str">
        <f>W7</f>
        <v>PY19</v>
      </c>
      <c r="X17" s="102" t="str">
        <f>X7</f>
        <v>FY20 Actual</v>
      </c>
      <c r="Y17" s="35" t="s">
        <v>87</v>
      </c>
    </row>
    <row r="18" spans="1:25" ht="12.75" customHeight="1" x14ac:dyDescent="0.2">
      <c r="A18" s="2" t="s">
        <v>5</v>
      </c>
      <c r="B18" s="2" t="s">
        <v>6</v>
      </c>
      <c r="C18" s="2">
        <v>56</v>
      </c>
      <c r="D18" s="2" t="s">
        <v>7</v>
      </c>
      <c r="E18" s="5">
        <f>'Sara Ballard eml 6-5-18'!G5*0.9</f>
        <v>85049.830273206113</v>
      </c>
      <c r="F18" s="17">
        <f>E18/E$22</f>
        <v>0.67305608344458423</v>
      </c>
      <c r="J18" s="2" t="s">
        <v>7</v>
      </c>
      <c r="K18" s="55">
        <f t="shared" ref="K18:K21" si="7">W18+X18</f>
        <v>108288.01522934259</v>
      </c>
      <c r="L18" s="45">
        <v>85049.830273206113</v>
      </c>
      <c r="M18" s="8">
        <f t="shared" ref="M18:M23" si="8">K18-L18</f>
        <v>23238.18495613648</v>
      </c>
      <c r="N18" s="9">
        <f>-1+(K18/L18)</f>
        <v>0.27323023316434969</v>
      </c>
      <c r="P18" s="45">
        <v>92168.79</v>
      </c>
      <c r="Q18" s="45">
        <v>61354.85</v>
      </c>
      <c r="R18" s="45">
        <v>49052.160000000003</v>
      </c>
      <c r="S18" s="8">
        <v>33207.19</v>
      </c>
      <c r="T18" s="8">
        <v>29032.03</v>
      </c>
      <c r="U18" s="25">
        <v>38132</v>
      </c>
      <c r="W18" s="32">
        <v>16191.031923081331</v>
      </c>
      <c r="X18" s="32">
        <v>92096.98330626126</v>
      </c>
      <c r="Y18" s="32">
        <f>W18+X18</f>
        <v>108288.01522934259</v>
      </c>
    </row>
    <row r="19" spans="1:25" ht="12.75" customHeight="1" x14ac:dyDescent="0.2">
      <c r="A19" s="2" t="s">
        <v>5</v>
      </c>
      <c r="B19" s="2" t="s">
        <v>6</v>
      </c>
      <c r="C19" s="2">
        <v>58</v>
      </c>
      <c r="D19" s="2" t="s">
        <v>8</v>
      </c>
      <c r="E19" s="5">
        <v>8724.1299999999992</v>
      </c>
      <c r="F19" s="17">
        <f>E19/E$22</f>
        <v>6.9039864634641679E-2</v>
      </c>
      <c r="J19" s="2" t="s">
        <v>8</v>
      </c>
      <c r="K19" s="55">
        <f t="shared" si="7"/>
        <v>85962.160952567559</v>
      </c>
      <c r="L19" s="45">
        <v>70872.657973717927</v>
      </c>
      <c r="M19" s="8">
        <f t="shared" si="8"/>
        <v>15089.502978849632</v>
      </c>
      <c r="N19" s="9">
        <f>-1+(K19/L19)</f>
        <v>0.21291007576497756</v>
      </c>
      <c r="P19" s="45">
        <v>68509.820000000007</v>
      </c>
      <c r="Q19" s="45">
        <v>45941.429999999993</v>
      </c>
      <c r="R19" s="45">
        <v>43418.810000000005</v>
      </c>
      <c r="S19" s="8">
        <v>39345.279999999999</v>
      </c>
      <c r="T19" s="8">
        <v>37399.170000000006</v>
      </c>
      <c r="U19" s="25">
        <v>44379</v>
      </c>
      <c r="W19" s="32">
        <v>13492.107674288889</v>
      </c>
      <c r="X19" s="32">
        <v>72470.053278278676</v>
      </c>
      <c r="Y19" s="32">
        <f t="shared" ref="Y19:Y21" si="9">W19+X19</f>
        <v>85962.160952567559</v>
      </c>
    </row>
    <row r="20" spans="1:25" ht="12.75" customHeight="1" x14ac:dyDescent="0.2">
      <c r="A20" s="2" t="s">
        <v>5</v>
      </c>
      <c r="B20" s="2" t="s">
        <v>6</v>
      </c>
      <c r="C20" s="2">
        <v>61</v>
      </c>
      <c r="D20" s="2" t="s">
        <v>9</v>
      </c>
      <c r="E20" s="5">
        <v>7949.48</v>
      </c>
      <c r="F20" s="17">
        <f>E20/E$22</f>
        <v>6.2909542053567677E-2</v>
      </c>
      <c r="J20" s="2" t="s">
        <v>9</v>
      </c>
      <c r="K20" s="55">
        <f t="shared" si="7"/>
        <v>83654.525458707736</v>
      </c>
      <c r="L20" s="45">
        <v>66229.941337932396</v>
      </c>
      <c r="M20" s="8">
        <f t="shared" si="8"/>
        <v>17424.58412077534</v>
      </c>
      <c r="N20" s="9">
        <f>-1+(K20/L20)</f>
        <v>0.26309224753601912</v>
      </c>
      <c r="P20" s="45">
        <v>62430.770000000004</v>
      </c>
      <c r="Q20" s="45">
        <v>42630.28</v>
      </c>
      <c r="R20" s="45">
        <v>41701.97</v>
      </c>
      <c r="S20" s="8">
        <v>41075.050000000003</v>
      </c>
      <c r="T20" s="8">
        <v>41938.61</v>
      </c>
      <c r="U20" s="25">
        <v>42591</v>
      </c>
      <c r="W20" s="32">
        <v>12608.268482389809</v>
      </c>
      <c r="X20" s="32">
        <v>71046.256976317934</v>
      </c>
      <c r="Y20" s="32">
        <f t="shared" si="9"/>
        <v>83654.525458707736</v>
      </c>
    </row>
    <row r="21" spans="1:25" ht="12.75" customHeight="1" thickBot="1" x14ac:dyDescent="0.25">
      <c r="A21" s="2" t="s">
        <v>5</v>
      </c>
      <c r="B21" s="2" t="s">
        <v>6</v>
      </c>
      <c r="C21" s="2">
        <v>84</v>
      </c>
      <c r="D21" s="2" t="s">
        <v>10</v>
      </c>
      <c r="E21" s="5">
        <v>24640.22</v>
      </c>
      <c r="F21" s="17">
        <f>E21/E$22</f>
        <v>0.19499450986720634</v>
      </c>
      <c r="J21" s="2" t="s">
        <v>10</v>
      </c>
      <c r="K21" s="55">
        <f t="shared" si="7"/>
        <v>266830.71091649431</v>
      </c>
      <c r="L21" s="45">
        <v>230920.48112116518</v>
      </c>
      <c r="M21" s="8">
        <f t="shared" si="8"/>
        <v>35910.229795329127</v>
      </c>
      <c r="N21" s="9">
        <f>-1+(K21/L21)</f>
        <v>0.15550907230479405</v>
      </c>
      <c r="P21" s="45">
        <v>193496.62</v>
      </c>
      <c r="Q21" s="45">
        <v>119387.44</v>
      </c>
      <c r="R21" s="45">
        <v>107288.06</v>
      </c>
      <c r="S21" s="8">
        <v>103558.48000000001</v>
      </c>
      <c r="T21" s="8">
        <v>110187.19</v>
      </c>
      <c r="U21" s="25">
        <v>128963</v>
      </c>
      <c r="W21" s="32">
        <v>43960.591920239967</v>
      </c>
      <c r="X21" s="32">
        <v>222870.11899625434</v>
      </c>
      <c r="Y21" s="32">
        <f t="shared" si="9"/>
        <v>266830.71091649431</v>
      </c>
    </row>
    <row r="22" spans="1:25" ht="12.75" customHeight="1" thickBot="1" x14ac:dyDescent="0.25">
      <c r="D22" s="21" t="s">
        <v>16</v>
      </c>
      <c r="E22" s="16">
        <f>SUM(E18:E21)</f>
        <v>126363.66027320611</v>
      </c>
      <c r="F22" s="17">
        <f>E22/E$22</f>
        <v>1</v>
      </c>
      <c r="K22" s="56">
        <f>SUM(K18:K21)</f>
        <v>544735.41255711229</v>
      </c>
      <c r="L22" s="45">
        <f>SUM(L18:L21)</f>
        <v>453072.91070602159</v>
      </c>
      <c r="M22" s="8">
        <f t="shared" si="8"/>
        <v>91662.501851090696</v>
      </c>
      <c r="N22" s="9">
        <f>-1+(K22/L22)</f>
        <v>0.20231291627710291</v>
      </c>
      <c r="P22" s="45">
        <f t="shared" ref="P22:U22" si="10">SUM(P18:P21)</f>
        <v>416606</v>
      </c>
      <c r="Q22" s="45">
        <f t="shared" si="10"/>
        <v>269314</v>
      </c>
      <c r="R22" s="45">
        <f t="shared" si="10"/>
        <v>241461</v>
      </c>
      <c r="S22" s="11">
        <f t="shared" si="10"/>
        <v>217186</v>
      </c>
      <c r="T22" s="11">
        <f t="shared" si="10"/>
        <v>218557</v>
      </c>
      <c r="U22" s="26">
        <f t="shared" si="10"/>
        <v>254065</v>
      </c>
      <c r="W22" s="120">
        <f>SUM(W18:W21)</f>
        <v>86252</v>
      </c>
      <c r="X22" s="121">
        <f>SUM(X18:X21)</f>
        <v>458483.41255711217</v>
      </c>
      <c r="Y22" s="120">
        <f>SUM(Y18:Y21)</f>
        <v>544735.41255711229</v>
      </c>
    </row>
    <row r="23" spans="1:25" ht="12.75" customHeight="1" x14ac:dyDescent="0.2">
      <c r="D23" s="3"/>
      <c r="E23" s="6">
        <f>+E22+E13</f>
        <v>176705.0947960974</v>
      </c>
      <c r="K23" s="32">
        <f>+K22+K13</f>
        <v>605261.56950790249</v>
      </c>
      <c r="L23" s="13">
        <f>'Scott 5-29-19'!G11</f>
        <v>605261.56950790249</v>
      </c>
      <c r="M23" s="13">
        <f t="shared" si="8"/>
        <v>0</v>
      </c>
      <c r="N23" s="14"/>
      <c r="P23" s="13"/>
      <c r="Q23" s="13"/>
      <c r="R23" s="13"/>
      <c r="S23" s="13"/>
      <c r="T23" s="13"/>
      <c r="W23" s="32"/>
      <c r="X23" s="107"/>
      <c r="Y23" s="32">
        <f>'Scott 5-29-19'!G11*0.9</f>
        <v>544735.41255711229</v>
      </c>
    </row>
    <row r="24" spans="1:25" ht="12.75" customHeight="1" x14ac:dyDescent="0.2">
      <c r="K24" s="32"/>
      <c r="R24" s="32"/>
    </row>
    <row r="25" spans="1:25" ht="18.75" customHeight="1" thickBot="1" x14ac:dyDescent="0.3">
      <c r="D25" s="22" t="str">
        <f>D32</f>
        <v xml:space="preserve">DW Adm </v>
      </c>
      <c r="J25" s="7" t="s">
        <v>69</v>
      </c>
      <c r="R25" s="32"/>
    </row>
    <row r="26" spans="1:25" ht="40.5" customHeight="1" thickBot="1" x14ac:dyDescent="0.3">
      <c r="A26" s="1" t="s">
        <v>0</v>
      </c>
      <c r="B26" s="1" t="s">
        <v>1</v>
      </c>
      <c r="C26" s="1" t="s">
        <v>2</v>
      </c>
      <c r="D26" s="1" t="s">
        <v>3</v>
      </c>
      <c r="E26" s="4" t="s">
        <v>12</v>
      </c>
      <c r="F26" s="27" t="s">
        <v>22</v>
      </c>
      <c r="J26" s="18" t="s">
        <v>3</v>
      </c>
      <c r="K26" s="54" t="s">
        <v>19</v>
      </c>
      <c r="L26" s="43" t="str">
        <f>L7</f>
        <v>PY18 &amp; FY19 Actual</v>
      </c>
      <c r="M26" s="24" t="s">
        <v>24</v>
      </c>
      <c r="N26" s="24" t="s">
        <v>23</v>
      </c>
      <c r="P26" s="43" t="str">
        <f>P7</f>
        <v>PY17 &amp; FY18 Actual</v>
      </c>
      <c r="Q26" s="43" t="s">
        <v>38</v>
      </c>
      <c r="R26" s="47" t="s">
        <v>37</v>
      </c>
      <c r="S26" s="42" t="s">
        <v>31</v>
      </c>
      <c r="T26" s="42" t="s">
        <v>34</v>
      </c>
      <c r="U26" s="42" t="s">
        <v>35</v>
      </c>
      <c r="W26" s="37" t="str">
        <f>W7</f>
        <v>PY19</v>
      </c>
      <c r="X26" s="102" t="str">
        <f>X7</f>
        <v>FY20 Actual</v>
      </c>
      <c r="Y26" s="35" t="s">
        <v>87</v>
      </c>
    </row>
    <row r="27" spans="1:25" ht="12.75" customHeight="1" x14ac:dyDescent="0.2">
      <c r="A27" s="2" t="s">
        <v>5</v>
      </c>
      <c r="B27" s="2" t="s">
        <v>6</v>
      </c>
      <c r="C27" s="2">
        <v>56</v>
      </c>
      <c r="D27" s="2" t="s">
        <v>7</v>
      </c>
      <c r="E27" s="5">
        <f>34063*0.04</f>
        <v>1362.52</v>
      </c>
      <c r="F27" s="17">
        <f t="shared" ref="F27:F32" si="11">E27/E$32</f>
        <v>0.14946467749012723</v>
      </c>
      <c r="J27" s="2" t="s">
        <v>7</v>
      </c>
      <c r="K27" s="55">
        <f t="shared" ref="K27:K31" si="12">W27+X27</f>
        <v>7669.385815403326</v>
      </c>
      <c r="L27" s="45">
        <v>7554.1480692834621</v>
      </c>
      <c r="M27" s="8">
        <f t="shared" ref="M27:M32" si="13">K27-L27</f>
        <v>115.23774611986391</v>
      </c>
      <c r="N27" s="9">
        <f t="shared" ref="N27:N32" si="14">-1+(K27/L27)</f>
        <v>1.5254896391089012E-2</v>
      </c>
      <c r="P27" s="45">
        <v>8622.4279999999999</v>
      </c>
      <c r="Q27" s="45">
        <v>6979.96</v>
      </c>
      <c r="R27" s="31">
        <v>6776.4679999999998</v>
      </c>
      <c r="S27" s="8">
        <v>5304.4</v>
      </c>
      <c r="T27" s="8">
        <v>4807.5999999999995</v>
      </c>
      <c r="U27" s="25">
        <v>1270</v>
      </c>
      <c r="W27" s="32">
        <f>'Scott 5-29-19'!M7*0.04</f>
        <v>1335.8408913035848</v>
      </c>
      <c r="X27" s="32">
        <f>'Scott 5-29-19'!N7*0.04</f>
        <v>6333.5449240997414</v>
      </c>
      <c r="Y27" s="32">
        <f>W27+X27</f>
        <v>7669.385815403326</v>
      </c>
    </row>
    <row r="28" spans="1:25" ht="12.75" customHeight="1" x14ac:dyDescent="0.2">
      <c r="A28" s="2" t="s">
        <v>5</v>
      </c>
      <c r="B28" s="2" t="s">
        <v>6</v>
      </c>
      <c r="C28" s="2">
        <v>58</v>
      </c>
      <c r="D28" s="2" t="s">
        <v>8</v>
      </c>
      <c r="E28" s="5">
        <f>14585*0.04</f>
        <v>583.4</v>
      </c>
      <c r="F28" s="17">
        <f t="shared" si="11"/>
        <v>6.399736726634489E-2</v>
      </c>
      <c r="J28" s="2" t="s">
        <v>8</v>
      </c>
      <c r="K28" s="55">
        <f t="shared" si="12"/>
        <v>3757.5165682195448</v>
      </c>
      <c r="L28" s="45">
        <v>3908.0299431410194</v>
      </c>
      <c r="M28" s="8">
        <f t="shared" si="13"/>
        <v>-150.51337492147468</v>
      </c>
      <c r="N28" s="9">
        <f t="shared" si="14"/>
        <v>-3.8513874538152026E-2</v>
      </c>
      <c r="P28" s="45">
        <v>3691.6480000000001</v>
      </c>
      <c r="Q28" s="45">
        <v>3044.95</v>
      </c>
      <c r="R28" s="31">
        <v>2736.0960000000005</v>
      </c>
      <c r="S28" s="8">
        <v>2617.1999999999998</v>
      </c>
      <c r="T28" s="8">
        <v>1628.8</v>
      </c>
      <c r="U28" s="25">
        <v>1837</v>
      </c>
      <c r="W28" s="32">
        <f>'Scott 5-29-19'!M8*0.04</f>
        <v>654.47799894187699</v>
      </c>
      <c r="X28" s="32">
        <f>'Scott 5-29-19'!N8*0.04</f>
        <v>3103.0385692776676</v>
      </c>
      <c r="Y28" s="32">
        <f t="shared" ref="Y28:Y31" si="15">W28+X28</f>
        <v>3757.5165682195448</v>
      </c>
    </row>
    <row r="29" spans="1:25" ht="12.75" customHeight="1" x14ac:dyDescent="0.2">
      <c r="A29" s="2" t="s">
        <v>5</v>
      </c>
      <c r="B29" s="2" t="s">
        <v>6</v>
      </c>
      <c r="C29" s="2">
        <v>61</v>
      </c>
      <c r="D29" s="2" t="s">
        <v>9</v>
      </c>
      <c r="E29" s="5">
        <f>12074*0.04</f>
        <v>482.96000000000004</v>
      </c>
      <c r="F29" s="17">
        <f t="shared" si="11"/>
        <v>5.2979376919701629E-2</v>
      </c>
      <c r="J29" s="2" t="s">
        <v>9</v>
      </c>
      <c r="K29" s="55">
        <f t="shared" si="12"/>
        <v>3767.2592348762428</v>
      </c>
      <c r="L29" s="45">
        <v>3338.778648922264</v>
      </c>
      <c r="M29" s="8">
        <f t="shared" si="13"/>
        <v>428.48058595397879</v>
      </c>
      <c r="N29" s="9">
        <f t="shared" si="14"/>
        <v>0.12833452918248689</v>
      </c>
      <c r="P29" s="45">
        <v>3056.2640000000001</v>
      </c>
      <c r="Q29" s="45">
        <v>2332.54</v>
      </c>
      <c r="R29" s="31">
        <v>2299.6760000000004</v>
      </c>
      <c r="S29" s="8">
        <v>2155.6</v>
      </c>
      <c r="T29" s="8">
        <v>1252.4000000000001</v>
      </c>
      <c r="U29" s="25">
        <v>1452</v>
      </c>
      <c r="W29" s="32">
        <f>'Scott 5-29-19'!M9*0.04</f>
        <v>656.17496044878385</v>
      </c>
      <c r="X29" s="32">
        <f>'Scott 5-29-19'!N9*0.04</f>
        <v>3111.0842744274591</v>
      </c>
      <c r="Y29" s="32">
        <f t="shared" si="15"/>
        <v>3767.2592348762428</v>
      </c>
    </row>
    <row r="30" spans="1:25" ht="12.75" customHeight="1" x14ac:dyDescent="0.2">
      <c r="A30" s="2" t="s">
        <v>5</v>
      </c>
      <c r="B30" s="2" t="s">
        <v>6</v>
      </c>
      <c r="C30" s="2">
        <v>84</v>
      </c>
      <c r="D30" s="2" t="s">
        <v>10</v>
      </c>
      <c r="E30" s="5">
        <f>30429*0.04</f>
        <v>1217.1600000000001</v>
      </c>
      <c r="F30" s="17">
        <f t="shared" si="11"/>
        <v>0.13351908731899956</v>
      </c>
      <c r="J30" s="2" t="s">
        <v>10</v>
      </c>
      <c r="K30" s="55">
        <f t="shared" si="12"/>
        <v>9035.5374379610457</v>
      </c>
      <c r="L30" s="45">
        <v>9824.8361513837026</v>
      </c>
      <c r="M30" s="8">
        <f t="shared" si="13"/>
        <v>-789.29871342265687</v>
      </c>
      <c r="N30" s="9">
        <f t="shared" si="14"/>
        <v>-8.03370866710581E-2</v>
      </c>
      <c r="P30" s="45">
        <v>7702.5</v>
      </c>
      <c r="Q30" s="45">
        <v>6123.6900000000005</v>
      </c>
      <c r="R30" s="31">
        <v>5968.1600000000008</v>
      </c>
      <c r="S30" s="8">
        <v>4754</v>
      </c>
      <c r="T30" s="8">
        <v>2608</v>
      </c>
      <c r="U30" s="25">
        <v>4537</v>
      </c>
      <c r="W30" s="32">
        <f>'Scott 5-29-19'!M10*0.04</f>
        <v>1573.7949133151071</v>
      </c>
      <c r="X30" s="32">
        <f>'Scott 5-29-19'!N10*0.04</f>
        <v>7461.7425246459379</v>
      </c>
      <c r="Y30" s="32">
        <f t="shared" si="15"/>
        <v>9035.5374379610457</v>
      </c>
    </row>
    <row r="31" spans="1:25" ht="12.75" customHeight="1" thickBot="1" x14ac:dyDescent="0.25">
      <c r="A31" s="3"/>
      <c r="B31" s="3"/>
      <c r="C31" s="3"/>
      <c r="D31" s="2" t="s">
        <v>11</v>
      </c>
      <c r="E31" s="5">
        <f>(91151*0.06)+0.9</f>
        <v>5469.9599999999991</v>
      </c>
      <c r="F31" s="17">
        <f t="shared" si="11"/>
        <v>0.60003949100482656</v>
      </c>
      <c r="J31" s="2" t="s">
        <v>11</v>
      </c>
      <c r="K31" s="55">
        <f t="shared" si="12"/>
        <v>36344.548584690237</v>
      </c>
      <c r="L31" s="45">
        <v>36938.689219095671</v>
      </c>
      <c r="M31" s="8">
        <f t="shared" si="13"/>
        <v>-594.14063440543396</v>
      </c>
      <c r="N31" s="9">
        <f t="shared" si="14"/>
        <v>-1.6084507787522906E-2</v>
      </c>
      <c r="P31" s="45">
        <v>34610.160000000003</v>
      </c>
      <c r="Q31" s="45">
        <v>27718.86</v>
      </c>
      <c r="R31" s="31">
        <v>26670.6</v>
      </c>
      <c r="S31" s="8">
        <v>22249.8</v>
      </c>
      <c r="T31" s="8">
        <v>15445.2</v>
      </c>
      <c r="U31" s="25">
        <v>13644</v>
      </c>
      <c r="W31" s="32">
        <f>'Scott 5-29-19'!M11*0.06</f>
        <v>6330.4331460140284</v>
      </c>
      <c r="X31" s="32">
        <f>'Scott 5-29-19'!N11*0.06</f>
        <v>30014.115438676206</v>
      </c>
      <c r="Y31" s="32">
        <f t="shared" si="15"/>
        <v>36344.548584690237</v>
      </c>
    </row>
    <row r="32" spans="1:25" ht="12.75" customHeight="1" thickBot="1" x14ac:dyDescent="0.25">
      <c r="D32" s="21" t="s">
        <v>17</v>
      </c>
      <c r="E32" s="16">
        <f>SUM(E27:E31)</f>
        <v>9116</v>
      </c>
      <c r="F32" s="17">
        <f t="shared" si="11"/>
        <v>1</v>
      </c>
      <c r="K32" s="56">
        <f>SUM(K27:K31)</f>
        <v>60574.247641150396</v>
      </c>
      <c r="L32" s="45">
        <f>SUM(L27:L31)</f>
        <v>61564.482031826119</v>
      </c>
      <c r="M32" s="8">
        <f t="shared" si="13"/>
        <v>-990.23439067572326</v>
      </c>
      <c r="N32" s="9">
        <f t="shared" si="14"/>
        <v>-1.6084507787522906E-2</v>
      </c>
      <c r="P32" s="45">
        <f t="shared" ref="P32:U32" si="16">SUM(P27:P31)</f>
        <v>57683</v>
      </c>
      <c r="Q32" s="45">
        <f t="shared" si="16"/>
        <v>46200</v>
      </c>
      <c r="R32" s="31">
        <f t="shared" si="16"/>
        <v>44451</v>
      </c>
      <c r="S32" s="11">
        <f t="shared" si="16"/>
        <v>37081</v>
      </c>
      <c r="T32" s="11">
        <f t="shared" si="16"/>
        <v>25742</v>
      </c>
      <c r="U32" s="26">
        <f t="shared" si="16"/>
        <v>22740</v>
      </c>
      <c r="W32" s="118">
        <f t="shared" ref="W32:X32" si="17">SUM(W27:W31)</f>
        <v>10550.721910023381</v>
      </c>
      <c r="X32" s="119">
        <f t="shared" si="17"/>
        <v>50023.525731127011</v>
      </c>
      <c r="Y32" s="118">
        <f>SUM(Y27:Y31)</f>
        <v>60574.247641150396</v>
      </c>
    </row>
    <row r="33" spans="1:26" ht="12.75" customHeight="1" x14ac:dyDescent="0.2">
      <c r="D33" s="3"/>
      <c r="K33" s="32"/>
      <c r="M33" s="13"/>
      <c r="N33" s="14"/>
      <c r="R33" s="32"/>
      <c r="S33" s="13"/>
      <c r="T33" s="13"/>
      <c r="W33" s="32"/>
      <c r="X33" s="107"/>
      <c r="Y33" s="32">
        <f>'Scott 5-29-19'!L11*0.1</f>
        <v>60574.247641150403</v>
      </c>
    </row>
    <row r="34" spans="1:26" ht="12.75" customHeight="1" x14ac:dyDescent="0.2">
      <c r="D34" s="3"/>
      <c r="K34" s="32"/>
      <c r="M34" s="13"/>
      <c r="N34" s="14"/>
      <c r="R34" s="32"/>
      <c r="S34" s="13"/>
      <c r="T34" s="13"/>
      <c r="W34" s="96"/>
    </row>
    <row r="35" spans="1:26" ht="18" customHeight="1" thickBot="1" x14ac:dyDescent="0.3">
      <c r="D35" s="22" t="str">
        <f>D41</f>
        <v xml:space="preserve">DW </v>
      </c>
      <c r="J35" s="7" t="s">
        <v>18</v>
      </c>
      <c r="R35" s="32"/>
    </row>
    <row r="36" spans="1:26" ht="40.5" customHeight="1" thickBot="1" x14ac:dyDescent="0.3">
      <c r="A36" s="1" t="s">
        <v>0</v>
      </c>
      <c r="B36" s="1" t="s">
        <v>1</v>
      </c>
      <c r="C36" s="1" t="s">
        <v>2</v>
      </c>
      <c r="D36" s="1" t="s">
        <v>3</v>
      </c>
      <c r="E36" s="4" t="s">
        <v>12</v>
      </c>
      <c r="F36" s="27" t="s">
        <v>22</v>
      </c>
      <c r="J36" s="18" t="s">
        <v>3</v>
      </c>
      <c r="K36" s="54" t="s">
        <v>19</v>
      </c>
      <c r="L36" s="43" t="str">
        <f>L7</f>
        <v>PY18 &amp; FY19 Actual</v>
      </c>
      <c r="M36" s="24" t="s">
        <v>24</v>
      </c>
      <c r="N36" s="24" t="s">
        <v>23</v>
      </c>
      <c r="P36" s="43" t="str">
        <f>P7</f>
        <v>PY17 &amp; FY18 Actual</v>
      </c>
      <c r="Q36" s="43" t="s">
        <v>38</v>
      </c>
      <c r="R36" s="47" t="s">
        <v>37</v>
      </c>
      <c r="S36" s="42" t="s">
        <v>31</v>
      </c>
      <c r="T36" s="42" t="s">
        <v>34</v>
      </c>
      <c r="U36" s="42" t="s">
        <v>35</v>
      </c>
      <c r="W36" s="37" t="str">
        <f>W26</f>
        <v>PY19</v>
      </c>
      <c r="X36" s="102" t="str">
        <f>X26</f>
        <v>FY20 Actual</v>
      </c>
      <c r="Y36" s="35" t="s">
        <v>87</v>
      </c>
    </row>
    <row r="37" spans="1:26" ht="12.75" customHeight="1" x14ac:dyDescent="0.2">
      <c r="A37" s="2" t="s">
        <v>5</v>
      </c>
      <c r="B37" s="2" t="s">
        <v>6</v>
      </c>
      <c r="C37" s="2">
        <v>56</v>
      </c>
      <c r="D37" s="2" t="s">
        <v>7</v>
      </c>
      <c r="E37" s="5">
        <v>30657.51</v>
      </c>
      <c r="F37" s="17">
        <f>E37/E$41</f>
        <v>0.37371256171146461</v>
      </c>
      <c r="J37" s="2" t="s">
        <v>7</v>
      </c>
      <c r="K37" s="55">
        <f t="shared" ref="K37:K40" si="18">W37+X37</f>
        <v>172561.18084657483</v>
      </c>
      <c r="L37" s="45">
        <v>169968.33155887789</v>
      </c>
      <c r="M37" s="8">
        <f>K37-L37</f>
        <v>2592.8492876969394</v>
      </c>
      <c r="N37" s="9">
        <f>-1+(K37/L37)</f>
        <v>1.5254896391089012E-2</v>
      </c>
      <c r="P37" s="45">
        <v>194000.71000000002</v>
      </c>
      <c r="Q37" s="45">
        <v>157036.51</v>
      </c>
      <c r="R37" s="31">
        <v>152464.54999999999</v>
      </c>
      <c r="S37" s="8">
        <v>119359</v>
      </c>
      <c r="T37" s="8">
        <v>108168</v>
      </c>
      <c r="U37" s="25">
        <v>28583</v>
      </c>
      <c r="W37" s="32">
        <v>29128.470686071145</v>
      </c>
      <c r="X37" s="32">
        <v>143432.71016050369</v>
      </c>
      <c r="Y37" s="32">
        <f>W37+X37</f>
        <v>172561.18084657483</v>
      </c>
    </row>
    <row r="38" spans="1:26" ht="12.75" customHeight="1" x14ac:dyDescent="0.2">
      <c r="A38" s="2" t="s">
        <v>5</v>
      </c>
      <c r="B38" s="2" t="s">
        <v>6</v>
      </c>
      <c r="C38" s="2">
        <v>58</v>
      </c>
      <c r="D38" s="2" t="s">
        <v>8</v>
      </c>
      <c r="E38" s="5">
        <v>13125.43</v>
      </c>
      <c r="F38" s="17">
        <f>E38/E$41</f>
        <v>0.15999792771378071</v>
      </c>
      <c r="J38" s="2" t="s">
        <v>8</v>
      </c>
      <c r="K38" s="55">
        <f t="shared" si="18"/>
        <v>84544.122784939755</v>
      </c>
      <c r="L38" s="45">
        <v>87930.67372067293</v>
      </c>
      <c r="M38" s="8">
        <f>K38-L38</f>
        <v>-3386.5509357331757</v>
      </c>
      <c r="N38" s="9">
        <f>-1+(K38/L38)</f>
        <v>-3.8513874538152026E-2</v>
      </c>
      <c r="P38" s="45">
        <v>83063.359999999986</v>
      </c>
      <c r="Q38" s="45">
        <v>68508.66</v>
      </c>
      <c r="R38" s="31">
        <v>61567.9</v>
      </c>
      <c r="S38" s="8">
        <v>58892</v>
      </c>
      <c r="T38" s="8">
        <v>36638</v>
      </c>
      <c r="U38" s="25">
        <v>41330</v>
      </c>
      <c r="W38" s="32">
        <v>15069.195704800253</v>
      </c>
      <c r="X38" s="32">
        <v>69474.927080139503</v>
      </c>
      <c r="Y38" s="32">
        <f t="shared" ref="Y38:Y40" si="19">W38+X38</f>
        <v>84544.122784939755</v>
      </c>
    </row>
    <row r="39" spans="1:26" ht="12.75" customHeight="1" x14ac:dyDescent="0.2">
      <c r="A39" s="2" t="s">
        <v>5</v>
      </c>
      <c r="B39" s="2" t="s">
        <v>6</v>
      </c>
      <c r="C39" s="2">
        <v>61</v>
      </c>
      <c r="D39" s="2" t="s">
        <v>9</v>
      </c>
      <c r="E39" s="5">
        <v>10866.66</v>
      </c>
      <c r="F39" s="17">
        <f>E39/E$41</f>
        <v>0.13246370451636497</v>
      </c>
      <c r="J39" s="2" t="s">
        <v>9</v>
      </c>
      <c r="K39" s="55">
        <f t="shared" si="18"/>
        <v>84763.332784715458</v>
      </c>
      <c r="L39" s="45">
        <v>75122.519600750951</v>
      </c>
      <c r="M39" s="8">
        <f>K39-L39</f>
        <v>9640.8131839645066</v>
      </c>
      <c r="N39" s="9">
        <f>-1+(K39/L39)</f>
        <v>0.12833452918248667</v>
      </c>
      <c r="P39" s="45">
        <v>68763.22</v>
      </c>
      <c r="Q39" s="45">
        <v>52464.71</v>
      </c>
      <c r="R39" s="31">
        <v>51740.75</v>
      </c>
      <c r="S39" s="8">
        <v>48509</v>
      </c>
      <c r="T39" s="8">
        <v>28172</v>
      </c>
      <c r="U39" s="25">
        <v>32670</v>
      </c>
      <c r="W39" s="32">
        <v>12874.187149953132</v>
      </c>
      <c r="X39" s="32">
        <v>71889.145634762332</v>
      </c>
      <c r="Y39" s="32">
        <f t="shared" si="19"/>
        <v>84763.332784715458</v>
      </c>
    </row>
    <row r="40" spans="1:26" ht="12.75" customHeight="1" thickBot="1" x14ac:dyDescent="0.25">
      <c r="A40" s="2" t="s">
        <v>5</v>
      </c>
      <c r="B40" s="2" t="s">
        <v>6</v>
      </c>
      <c r="C40" s="2">
        <v>84</v>
      </c>
      <c r="D40" s="2" t="s">
        <v>10</v>
      </c>
      <c r="E40" s="5">
        <v>27385.4</v>
      </c>
      <c r="F40" s="17">
        <f>E40/E$41</f>
        <v>0.33382580605838974</v>
      </c>
      <c r="J40" s="2" t="s">
        <v>10</v>
      </c>
      <c r="K40" s="55">
        <f t="shared" si="18"/>
        <v>203299.59235412348</v>
      </c>
      <c r="L40" s="45">
        <v>221058.8134061333</v>
      </c>
      <c r="M40" s="46">
        <f>K40-L40</f>
        <v>-17759.221052009816</v>
      </c>
      <c r="N40" s="9">
        <f>-1+(K40/L40)</f>
        <v>-8.0337086671058211E-2</v>
      </c>
      <c r="P40" s="45">
        <v>173301.71</v>
      </c>
      <c r="Q40" s="45">
        <v>137771.12</v>
      </c>
      <c r="R40" s="50">
        <v>134289.79999999999</v>
      </c>
      <c r="S40" s="8">
        <v>106973</v>
      </c>
      <c r="T40" s="8">
        <v>58678</v>
      </c>
      <c r="U40" s="25">
        <v>102070</v>
      </c>
      <c r="W40" s="32">
        <v>37885.146459175463</v>
      </c>
      <c r="X40" s="32">
        <v>165414.44589494803</v>
      </c>
      <c r="Y40" s="32">
        <f t="shared" si="19"/>
        <v>203299.59235412348</v>
      </c>
    </row>
    <row r="41" spans="1:26" ht="12.75" customHeight="1" thickBot="1" x14ac:dyDescent="0.25">
      <c r="D41" s="21" t="s">
        <v>18</v>
      </c>
      <c r="E41" s="16">
        <f>SUM(E37:E40)</f>
        <v>82035</v>
      </c>
      <c r="F41" s="17">
        <f>E41/E$41</f>
        <v>1</v>
      </c>
      <c r="K41" s="56">
        <f>SUM(K37:K40)</f>
        <v>545168.2287703536</v>
      </c>
      <c r="L41" s="45">
        <f>SUM(L37:L40)</f>
        <v>554080.33828643512</v>
      </c>
      <c r="M41" s="45">
        <f t="shared" ref="M41" si="20">SUM(M37:M40)</f>
        <v>-8912.1095160815457</v>
      </c>
      <c r="N41" s="39">
        <f>-1+(K41/L41)</f>
        <v>-1.6084507787522906E-2</v>
      </c>
      <c r="P41" s="45">
        <f>SUM(P37:P40)</f>
        <v>519129</v>
      </c>
      <c r="Q41" s="45">
        <f>SUM(Q37:Q40)</f>
        <v>415781</v>
      </c>
      <c r="R41" s="31">
        <f t="shared" ref="R41" si="21">SUM(R37:R40)</f>
        <v>400062.99999999994</v>
      </c>
      <c r="S41" s="11">
        <f>SUM(S37:S40)</f>
        <v>333733</v>
      </c>
      <c r="T41" s="11">
        <f>SUM(T37:T40)</f>
        <v>231656</v>
      </c>
      <c r="U41" s="26">
        <f>SUM(U37:U40)</f>
        <v>204653</v>
      </c>
      <c r="W41" s="120">
        <f>SUM(W37:W40)</f>
        <v>94957</v>
      </c>
      <c r="X41" s="121">
        <f>SUM(X37:X40)</f>
        <v>450211.22877035354</v>
      </c>
      <c r="Y41" s="120">
        <f>SUM(Y37:Y40)</f>
        <v>545168.2287703536</v>
      </c>
    </row>
    <row r="42" spans="1:26" ht="12.75" customHeight="1" x14ac:dyDescent="0.2">
      <c r="D42" s="3"/>
      <c r="E42" s="6">
        <f>E41+E32</f>
        <v>91151</v>
      </c>
      <c r="K42" s="32">
        <f>K41+K32</f>
        <v>605742.47641150397</v>
      </c>
      <c r="L42" s="13">
        <f>'Scott 5-29-19'!L11</f>
        <v>605742.47641150397</v>
      </c>
      <c r="M42" s="13"/>
      <c r="N42" s="14"/>
      <c r="P42" s="13"/>
      <c r="Q42" s="13"/>
      <c r="R42" s="32"/>
      <c r="S42" s="13"/>
      <c r="T42" s="13"/>
      <c r="W42" s="32"/>
      <c r="X42" s="107"/>
      <c r="Y42" s="32">
        <f>'Scott 5-29-19'!L11*0.9</f>
        <v>545168.2287703536</v>
      </c>
    </row>
    <row r="43" spans="1:26" ht="12.75" customHeight="1" x14ac:dyDescent="0.2">
      <c r="D43" s="23" t="s">
        <v>29</v>
      </c>
      <c r="E43" s="3"/>
      <c r="F43"/>
      <c r="K43" s="32"/>
      <c r="R43" s="32"/>
      <c r="W43" t="s">
        <v>104</v>
      </c>
    </row>
    <row r="44" spans="1:26" ht="12.75" hidden="1" customHeight="1" x14ac:dyDescent="0.2">
      <c r="D44" t="s">
        <v>14</v>
      </c>
      <c r="E44"/>
      <c r="F44"/>
      <c r="K44" s="32"/>
      <c r="R44" s="32"/>
    </row>
    <row r="45" spans="1:26" ht="12.75" hidden="1" customHeight="1" x14ac:dyDescent="0.2">
      <c r="A45" s="1" t="s">
        <v>0</v>
      </c>
      <c r="B45" s="1" t="s">
        <v>1</v>
      </c>
      <c r="C45" s="1" t="s">
        <v>2</v>
      </c>
      <c r="E45"/>
      <c r="F45"/>
      <c r="K45" s="32"/>
      <c r="R45" s="32"/>
    </row>
    <row r="46" spans="1:26" ht="17.25" customHeight="1" x14ac:dyDescent="0.25">
      <c r="A46" s="2" t="s">
        <v>5</v>
      </c>
      <c r="B46" s="2" t="s">
        <v>6</v>
      </c>
      <c r="C46" s="2">
        <v>56</v>
      </c>
      <c r="D46" t="str">
        <f>D53</f>
        <v xml:space="preserve">Youth Adm </v>
      </c>
      <c r="F46"/>
      <c r="J46" s="7" t="s">
        <v>70</v>
      </c>
      <c r="K46" s="32"/>
      <c r="R46" s="32"/>
      <c r="W46" t="s">
        <v>105</v>
      </c>
    </row>
    <row r="47" spans="1:26" ht="12.75" customHeight="1" x14ac:dyDescent="0.2">
      <c r="A47" s="2" t="s">
        <v>5</v>
      </c>
      <c r="B47" s="2" t="s">
        <v>6</v>
      </c>
      <c r="C47" s="2">
        <v>58</v>
      </c>
      <c r="D47" s="1" t="s">
        <v>3</v>
      </c>
      <c r="E47" s="4" t="s">
        <v>12</v>
      </c>
      <c r="F47"/>
      <c r="J47" s="18" t="s">
        <v>3</v>
      </c>
      <c r="K47" s="51" t="s">
        <v>100</v>
      </c>
      <c r="L47" s="51" t="s">
        <v>46</v>
      </c>
      <c r="M47" s="24" t="s">
        <v>24</v>
      </c>
      <c r="N47" s="24" t="s">
        <v>23</v>
      </c>
      <c r="P47" s="51" t="s">
        <v>43</v>
      </c>
      <c r="Q47" s="51" t="s">
        <v>36</v>
      </c>
      <c r="R47" s="51" t="s">
        <v>30</v>
      </c>
      <c r="S47" s="36" t="s">
        <v>20</v>
      </c>
      <c r="T47" s="36" t="s">
        <v>33</v>
      </c>
      <c r="U47" s="33" t="s">
        <v>21</v>
      </c>
      <c r="X47" s="107"/>
    </row>
    <row r="48" spans="1:26" ht="12.75" customHeight="1" x14ac:dyDescent="0.2">
      <c r="A48" s="2" t="s">
        <v>5</v>
      </c>
      <c r="B48" s="2" t="s">
        <v>6</v>
      </c>
      <c r="C48" s="2">
        <v>61</v>
      </c>
      <c r="D48" s="2" t="s">
        <v>7</v>
      </c>
      <c r="E48" s="5">
        <f>106335*0.04</f>
        <v>4253.3999999999996</v>
      </c>
      <c r="F48"/>
      <c r="J48" s="2" t="s">
        <v>7</v>
      </c>
      <c r="K48" s="5">
        <f>'Scott 5-29-19'!D7*0.04</f>
        <v>4921.2379251626808</v>
      </c>
      <c r="L48" s="30">
        <v>3853.2622609954697</v>
      </c>
      <c r="M48" s="8">
        <f t="shared" ref="M48:M53" si="22">K48-L48</f>
        <v>1067.9756641672111</v>
      </c>
      <c r="N48" s="9">
        <f t="shared" ref="N48:N53" si="23">-1+(K48/L48)</f>
        <v>0.27716142630045248</v>
      </c>
      <c r="P48" s="30">
        <v>4253.3999999999996</v>
      </c>
      <c r="Q48" s="30">
        <v>2799.01</v>
      </c>
      <c r="R48" s="30">
        <v>2190.2959999999998</v>
      </c>
      <c r="S48" s="8">
        <v>1442.6440000000002</v>
      </c>
      <c r="T48" s="8">
        <v>1293.8320000000001</v>
      </c>
      <c r="U48" s="29">
        <v>2036</v>
      </c>
      <c r="X48" s="107"/>
      <c r="Z48" s="96"/>
    </row>
    <row r="49" spans="1:26" ht="12.75" customHeight="1" x14ac:dyDescent="0.2">
      <c r="A49" s="2" t="s">
        <v>5</v>
      </c>
      <c r="B49" s="2" t="s">
        <v>6</v>
      </c>
      <c r="C49" s="2">
        <v>84</v>
      </c>
      <c r="D49" s="2" t="s">
        <v>8</v>
      </c>
      <c r="E49" s="5">
        <f>78693*0.04</f>
        <v>3147.7200000000003</v>
      </c>
      <c r="F49"/>
      <c r="J49" s="2" t="s">
        <v>8</v>
      </c>
      <c r="K49" s="5">
        <f>'Scott 5-29-19'!D8*0.04</f>
        <v>3940.7546689156206</v>
      </c>
      <c r="L49" s="30">
        <v>3248.1932610225649</v>
      </c>
      <c r="M49" s="8">
        <f t="shared" si="22"/>
        <v>692.56140789305573</v>
      </c>
      <c r="N49" s="9">
        <f t="shared" si="23"/>
        <v>0.21321434786642901</v>
      </c>
      <c r="P49" s="30">
        <v>3147.7200000000003</v>
      </c>
      <c r="Q49" s="30">
        <v>2080.59</v>
      </c>
      <c r="R49" s="30">
        <v>1943.5160000000001</v>
      </c>
      <c r="S49" s="8">
        <v>1759.3200000000002</v>
      </c>
      <c r="T49" s="8">
        <v>1737.36</v>
      </c>
      <c r="U49" s="30">
        <v>2688</v>
      </c>
      <c r="X49" s="107"/>
      <c r="Z49" s="96"/>
    </row>
    <row r="50" spans="1:26" ht="12.75" customHeight="1" x14ac:dyDescent="0.2">
      <c r="A50" s="3"/>
      <c r="B50" s="3"/>
      <c r="C50" s="3"/>
      <c r="D50" s="2" t="s">
        <v>9</v>
      </c>
      <c r="E50" s="5">
        <f>64177*0.04</f>
        <v>2567.08</v>
      </c>
      <c r="F50"/>
      <c r="J50" s="2" t="s">
        <v>9</v>
      </c>
      <c r="K50" s="5">
        <f>'Scott 5-29-19'!D9*0.04</f>
        <v>3371.3087341660712</v>
      </c>
      <c r="L50" s="30">
        <v>2636.2756834755978</v>
      </c>
      <c r="M50" s="8">
        <f t="shared" si="22"/>
        <v>735.03305069047337</v>
      </c>
      <c r="N50" s="9">
        <f t="shared" si="23"/>
        <v>0.27881494158510178</v>
      </c>
      <c r="P50" s="30">
        <v>2567.08</v>
      </c>
      <c r="Q50" s="30">
        <v>1596.86</v>
      </c>
      <c r="R50" s="30">
        <v>1481.4960000000001</v>
      </c>
      <c r="S50" s="8">
        <v>1488.2280000000001</v>
      </c>
      <c r="T50" s="8">
        <v>1584.924</v>
      </c>
      <c r="U50" s="30">
        <v>1915</v>
      </c>
      <c r="X50" s="107"/>
      <c r="Z50" s="96"/>
    </row>
    <row r="51" spans="1:26" ht="12.75" customHeight="1" x14ac:dyDescent="0.2">
      <c r="D51" s="2" t="s">
        <v>10</v>
      </c>
      <c r="E51" s="5">
        <f>223089*0.04</f>
        <v>8923.56</v>
      </c>
      <c r="F51"/>
      <c r="J51" s="2" t="s">
        <v>10</v>
      </c>
      <c r="K51" s="5">
        <f>'Scott 5-29-19'!D10*0.04</f>
        <v>12433.9576300176</v>
      </c>
      <c r="L51" s="30">
        <v>10775.808739940587</v>
      </c>
      <c r="M51" s="8">
        <f t="shared" si="22"/>
        <v>1658.1488900770128</v>
      </c>
      <c r="N51" s="9">
        <f t="shared" si="23"/>
        <v>0.15387697852608273</v>
      </c>
      <c r="P51" s="30">
        <v>8923.56</v>
      </c>
      <c r="Q51" s="30">
        <v>5418.14</v>
      </c>
      <c r="R51" s="30">
        <v>4796.2920000000004</v>
      </c>
      <c r="S51" s="8">
        <v>4646.2080000000005</v>
      </c>
      <c r="T51" s="8">
        <v>5179.0839999999998</v>
      </c>
      <c r="U51" s="30">
        <v>5158</v>
      </c>
      <c r="Z51" s="96"/>
    </row>
    <row r="52" spans="1:26" ht="12.75" customHeight="1" thickBot="1" x14ac:dyDescent="0.25">
      <c r="D52" s="2" t="s">
        <v>11</v>
      </c>
      <c r="E52" s="5">
        <f>(472294*0.06)-0.4</f>
        <v>28337.239999999998</v>
      </c>
      <c r="F52"/>
      <c r="J52" s="2" t="s">
        <v>11</v>
      </c>
      <c r="K52" s="5">
        <f>'Scott 5-29-19'!D11*0.06</f>
        <v>37000.888437392954</v>
      </c>
      <c r="L52" s="30">
        <v>30770.309918151328</v>
      </c>
      <c r="M52" s="8">
        <f t="shared" si="22"/>
        <v>6230.5785192416261</v>
      </c>
      <c r="N52" s="9">
        <f t="shared" si="23"/>
        <v>0.20248670019297488</v>
      </c>
      <c r="P52" s="52">
        <v>28337.239999999998</v>
      </c>
      <c r="Q52" s="30">
        <v>17843.399999999998</v>
      </c>
      <c r="R52" s="52">
        <v>15617.4</v>
      </c>
      <c r="S52" s="8">
        <v>14004.6</v>
      </c>
      <c r="T52" s="8">
        <v>14692.8</v>
      </c>
      <c r="U52" s="30">
        <v>17696</v>
      </c>
      <c r="Z52" s="96"/>
    </row>
    <row r="53" spans="1:26" ht="12.75" customHeight="1" thickBot="1" x14ac:dyDescent="0.25">
      <c r="D53" s="3" t="s">
        <v>27</v>
      </c>
      <c r="E53" s="10">
        <f>SUM(E48:E52)</f>
        <v>47229</v>
      </c>
      <c r="F53"/>
      <c r="K53" s="56">
        <f>SUM(K48:K52)</f>
        <v>61668.147395654923</v>
      </c>
      <c r="L53" s="11">
        <f>SUM(L48:L52)</f>
        <v>51283.84986358555</v>
      </c>
      <c r="M53" s="11">
        <f t="shared" si="22"/>
        <v>10384.297532069373</v>
      </c>
      <c r="N53" s="9">
        <f t="shared" si="23"/>
        <v>0.20248670019297466</v>
      </c>
      <c r="P53" s="31">
        <f>SUM(P48:P52)</f>
        <v>47229</v>
      </c>
      <c r="Q53" s="11">
        <f>SUM(Q48:Q52)</f>
        <v>29738</v>
      </c>
      <c r="R53" s="31">
        <f>SUM(R48:R52)</f>
        <v>26029</v>
      </c>
      <c r="S53" s="11">
        <f>SUM(S48:S52)</f>
        <v>23341</v>
      </c>
      <c r="T53" s="11">
        <f>SUM(T48:T52)</f>
        <v>24488</v>
      </c>
      <c r="U53" s="31">
        <v>29493</v>
      </c>
      <c r="Z53" s="96"/>
    </row>
    <row r="54" spans="1:26" ht="12.75" customHeight="1" x14ac:dyDescent="0.2">
      <c r="D54" s="3"/>
      <c r="F54"/>
      <c r="K54" s="32"/>
      <c r="L54" s="32"/>
      <c r="P54" s="32"/>
      <c r="Q54" s="32"/>
      <c r="R54" s="32"/>
      <c r="U54" s="32"/>
    </row>
    <row r="55" spans="1:26" ht="12.75" customHeight="1" x14ac:dyDescent="0.2">
      <c r="A55" s="1" t="s">
        <v>0</v>
      </c>
      <c r="B55" s="1" t="s">
        <v>1</v>
      </c>
      <c r="C55" s="1" t="s">
        <v>2</v>
      </c>
      <c r="D55" s="3"/>
      <c r="F55"/>
      <c r="K55" s="32"/>
      <c r="L55" s="32"/>
      <c r="P55" s="32"/>
      <c r="Q55" s="32"/>
      <c r="R55" s="32"/>
      <c r="U55" s="32"/>
    </row>
    <row r="56" spans="1:26" ht="12.75" customHeight="1" x14ac:dyDescent="0.25">
      <c r="A56" s="2" t="s">
        <v>5</v>
      </c>
      <c r="B56" s="2" t="s">
        <v>6</v>
      </c>
      <c r="C56" s="2">
        <v>56</v>
      </c>
      <c r="D56" t="str">
        <f>D62</f>
        <v>Youth Program</v>
      </c>
      <c r="F56"/>
      <c r="J56" s="7" t="s">
        <v>71</v>
      </c>
      <c r="K56" s="32"/>
      <c r="L56" s="32"/>
      <c r="P56" s="32"/>
      <c r="Q56" s="32"/>
      <c r="R56" s="32"/>
      <c r="U56" s="32"/>
    </row>
    <row r="57" spans="1:26" ht="12.75" customHeight="1" x14ac:dyDescent="0.2">
      <c r="A57" s="2" t="s">
        <v>5</v>
      </c>
      <c r="B57" s="2" t="s">
        <v>6</v>
      </c>
      <c r="C57" s="2">
        <v>58</v>
      </c>
      <c r="D57" s="1" t="s">
        <v>3</v>
      </c>
      <c r="E57" s="4" t="s">
        <v>4</v>
      </c>
      <c r="F57"/>
      <c r="G57" s="23" t="s">
        <v>45</v>
      </c>
      <c r="J57" s="18" t="s">
        <v>3</v>
      </c>
      <c r="K57" s="51" t="str">
        <f>K47</f>
        <v>PY19 Final</v>
      </c>
      <c r="L57" s="51" t="str">
        <f>L47</f>
        <v>PY18 Final</v>
      </c>
      <c r="M57" s="24" t="s">
        <v>24</v>
      </c>
      <c r="N57" s="24" t="s">
        <v>23</v>
      </c>
      <c r="P57" s="51" t="str">
        <f>P47</f>
        <v>PY17 Final</v>
      </c>
      <c r="Q57" s="51" t="str">
        <f>Q47</f>
        <v>PY16 Final</v>
      </c>
      <c r="R57" s="51" t="s">
        <v>30</v>
      </c>
      <c r="S57" s="28" t="str">
        <f>S47</f>
        <v>PY14 Final</v>
      </c>
      <c r="T57" s="36" t="s">
        <v>33</v>
      </c>
      <c r="U57" s="33" t="s">
        <v>21</v>
      </c>
    </row>
    <row r="58" spans="1:26" ht="12.75" customHeight="1" x14ac:dyDescent="0.2">
      <c r="A58" s="2" t="s">
        <v>5</v>
      </c>
      <c r="B58" s="2" t="s">
        <v>6</v>
      </c>
      <c r="C58" s="2">
        <v>61</v>
      </c>
      <c r="D58" s="2" t="s">
        <v>7</v>
      </c>
      <c r="E58" s="5">
        <v>95701.39</v>
      </c>
      <c r="F58"/>
      <c r="G58" s="59" t="s">
        <v>44</v>
      </c>
      <c r="J58" s="2" t="s">
        <v>7</v>
      </c>
      <c r="K58" s="30">
        <f>'Scott 5-29-19'!D7*0.9</f>
        <v>110727.85331616033</v>
      </c>
      <c r="L58" s="30">
        <v>86698.400872398066</v>
      </c>
      <c r="M58" s="8">
        <f>K58-L58</f>
        <v>24029.45244376226</v>
      </c>
      <c r="N58" s="9">
        <f>-1+(K58/L58)</f>
        <v>0.27716142630045271</v>
      </c>
      <c r="P58" s="30">
        <v>95701.39</v>
      </c>
      <c r="Q58" s="30">
        <v>62977.34</v>
      </c>
      <c r="R58" s="30">
        <v>49275.12</v>
      </c>
      <c r="S58" s="8">
        <v>32458.95</v>
      </c>
      <c r="T58" s="8">
        <v>29111.09</v>
      </c>
      <c r="U58" s="29">
        <v>45806</v>
      </c>
    </row>
    <row r="59" spans="1:26" ht="12.75" customHeight="1" x14ac:dyDescent="0.2">
      <c r="A59" s="2" t="s">
        <v>5</v>
      </c>
      <c r="B59" s="2" t="s">
        <v>6</v>
      </c>
      <c r="C59" s="2">
        <v>84</v>
      </c>
      <c r="D59" s="2" t="s">
        <v>8</v>
      </c>
      <c r="E59" s="5">
        <v>70823.56</v>
      </c>
      <c r="F59"/>
      <c r="J59" s="2" t="s">
        <v>8</v>
      </c>
      <c r="K59" s="30">
        <f>'Scott 5-29-19'!D8*0.9</f>
        <v>88666.980050601458</v>
      </c>
      <c r="L59" s="30">
        <v>73084.348373007713</v>
      </c>
      <c r="M59" s="8">
        <f>K59-L59</f>
        <v>15582.631677593745</v>
      </c>
      <c r="N59" s="9">
        <f>-1+(K59/L59)</f>
        <v>0.21321434786642901</v>
      </c>
      <c r="P59" s="30">
        <v>70823.56</v>
      </c>
      <c r="Q59" s="30">
        <v>46824.45</v>
      </c>
      <c r="R59" s="30">
        <v>43728.45</v>
      </c>
      <c r="S59" s="8">
        <v>39584.300000000003</v>
      </c>
      <c r="T59" s="8">
        <v>39091.47</v>
      </c>
      <c r="U59" s="30">
        <v>60495</v>
      </c>
    </row>
    <row r="60" spans="1:26" ht="12.75" customHeight="1" x14ac:dyDescent="0.2">
      <c r="D60" s="2" t="s">
        <v>9</v>
      </c>
      <c r="E60" s="5">
        <v>57759.56</v>
      </c>
      <c r="F60"/>
      <c r="J60" s="2" t="s">
        <v>9</v>
      </c>
      <c r="K60" s="30">
        <f>'Scott 5-29-19'!D9*0.9</f>
        <v>75854.4465187366</v>
      </c>
      <c r="L60" s="30">
        <v>59316.202878200951</v>
      </c>
      <c r="M60" s="8">
        <f>K60-L60</f>
        <v>16538.243640535649</v>
      </c>
      <c r="N60" s="9">
        <f>-1+(K60/L60)</f>
        <v>0.27881494158510178</v>
      </c>
      <c r="P60" s="30">
        <v>57759.56</v>
      </c>
      <c r="Q60" s="30">
        <v>35937.519999999997</v>
      </c>
      <c r="R60" s="30">
        <v>33333.94</v>
      </c>
      <c r="S60" s="8">
        <v>33483.57</v>
      </c>
      <c r="T60" s="8">
        <v>35659.57</v>
      </c>
      <c r="U60" s="30">
        <v>43091</v>
      </c>
    </row>
    <row r="61" spans="1:26" ht="13.5" thickBot="1" x14ac:dyDescent="0.25">
      <c r="D61" s="2" t="s">
        <v>10</v>
      </c>
      <c r="E61" s="5">
        <v>200779.49</v>
      </c>
      <c r="F61"/>
      <c r="J61" s="2" t="s">
        <v>10</v>
      </c>
      <c r="K61" s="30">
        <f>'Scott 5-29-19'!D10*0.9</f>
        <v>279764.04667539604</v>
      </c>
      <c r="L61" s="52">
        <v>242455.6966486632</v>
      </c>
      <c r="M61" s="8">
        <f>K61-L61</f>
        <v>37308.350026732835</v>
      </c>
      <c r="N61" s="9">
        <f>-1+(K61/L61)</f>
        <v>0.15387697852608295</v>
      </c>
      <c r="P61" s="52">
        <v>200779.49</v>
      </c>
      <c r="Q61" s="52">
        <v>121913.69</v>
      </c>
      <c r="R61" s="52">
        <v>107921.49</v>
      </c>
      <c r="S61" s="8">
        <v>104539.18</v>
      </c>
      <c r="T61" s="8">
        <v>116527.87</v>
      </c>
      <c r="U61" s="30">
        <v>116044</v>
      </c>
    </row>
    <row r="62" spans="1:26" ht="13.5" thickBot="1" x14ac:dyDescent="0.25">
      <c r="D62" s="3" t="s">
        <v>28</v>
      </c>
      <c r="E62" s="10">
        <f>SUM(E58:E61)</f>
        <v>425064</v>
      </c>
      <c r="F62"/>
      <c r="K62" s="57">
        <f>SUM(K58:K61)</f>
        <v>555013.32656089449</v>
      </c>
      <c r="L62" s="31">
        <f>SUM(L58:L61)</f>
        <v>461554.64877226995</v>
      </c>
      <c r="M62" s="11">
        <f>K62-L62</f>
        <v>93458.67778862454</v>
      </c>
      <c r="N62" s="9">
        <f>-1+(K62/L62)</f>
        <v>0.2024867001929751</v>
      </c>
      <c r="P62" s="31">
        <f>SUM(P58:P61)</f>
        <v>425064</v>
      </c>
      <c r="Q62" s="31">
        <f>SUM(Q58:Q61)</f>
        <v>267653</v>
      </c>
      <c r="R62" s="31">
        <f>SUM(R58:R61)</f>
        <v>234259</v>
      </c>
      <c r="S62" s="11">
        <f>SUM(S58:S61)</f>
        <v>210066</v>
      </c>
      <c r="T62" s="11">
        <f>SUM(T58:T61)</f>
        <v>220390</v>
      </c>
      <c r="U62" s="30">
        <v>265436</v>
      </c>
    </row>
    <row r="63" spans="1:26" x14ac:dyDescent="0.2">
      <c r="E63" s="6">
        <f>+E62+E53</f>
        <v>472293</v>
      </c>
      <c r="K63" s="32">
        <f>K62+K53</f>
        <v>616681.47395654942</v>
      </c>
      <c r="L63" s="32"/>
      <c r="P63" s="32"/>
      <c r="Q63" s="32"/>
      <c r="R63" s="32"/>
      <c r="U63" s="32"/>
    </row>
    <row r="64" spans="1:26" x14ac:dyDescent="0.2">
      <c r="J64" s="23" t="s">
        <v>26</v>
      </c>
      <c r="K64" s="13">
        <f>K13+K22+K32+K41+K53+K62</f>
        <v>1827685.5198759558</v>
      </c>
      <c r="L64" s="13">
        <f>L13+L22+L32+L41+L53+L62</f>
        <v>1631897.6641830297</v>
      </c>
      <c r="P64" s="13">
        <f t="shared" ref="P64:U64" si="24">P13+P22+P32+P41+P53+P62</f>
        <v>1512000</v>
      </c>
      <c r="Q64" s="13">
        <f t="shared" si="24"/>
        <v>1058610</v>
      </c>
      <c r="R64" s="13">
        <f t="shared" si="24"/>
        <v>973092.99</v>
      </c>
      <c r="S64" s="13">
        <f t="shared" si="24"/>
        <v>845539.99</v>
      </c>
      <c r="T64" s="13">
        <f t="shared" si="24"/>
        <v>745119</v>
      </c>
      <c r="U64" s="13">
        <f t="shared" si="24"/>
        <v>804617</v>
      </c>
    </row>
    <row r="65" spans="10:23" x14ac:dyDescent="0.2">
      <c r="J65" t="s">
        <v>32</v>
      </c>
      <c r="K65" s="38">
        <f>K64/L64</f>
        <v>1.119975571992097</v>
      </c>
      <c r="L65" s="38">
        <f>L64/P64</f>
        <v>1.0792973969464481</v>
      </c>
      <c r="P65" s="38">
        <f>P64/Q64</f>
        <v>1.428288038087681</v>
      </c>
      <c r="Q65" s="38">
        <f>Q64/R64</f>
        <v>1.0878816422261968</v>
      </c>
      <c r="R65" s="38">
        <f>R64/S64</f>
        <v>1.1508538939713544</v>
      </c>
      <c r="S65" s="38">
        <f>S64/T64</f>
        <v>1.1347717478684614</v>
      </c>
      <c r="T65" s="38">
        <f>T64/U64</f>
        <v>0.92605425935569341</v>
      </c>
    </row>
    <row r="66" spans="10:23" x14ac:dyDescent="0.2">
      <c r="L66" t="s">
        <v>106</v>
      </c>
      <c r="M66" t="s">
        <v>107</v>
      </c>
      <c r="W66" s="23" t="s">
        <v>108</v>
      </c>
    </row>
    <row r="67" spans="10:23" x14ac:dyDescent="0.2">
      <c r="L67" s="13">
        <f>L18+L37+L58</f>
        <v>341716.56270448206</v>
      </c>
      <c r="M67" s="13">
        <f>L67-'[5]20-21 MOU'!$B$65</f>
        <v>307510.10561017448</v>
      </c>
      <c r="W67" s="6">
        <f>Y8+Y27+K48</f>
        <v>17403.424417425678</v>
      </c>
    </row>
    <row r="68" spans="10:23" x14ac:dyDescent="0.2">
      <c r="L68" s="13">
        <f t="shared" ref="L68:L69" si="25">L19+L38+L59</f>
        <v>231887.68006739859</v>
      </c>
      <c r="M68" s="13">
        <f>L68-'[5]20-21 MOU'!$C$65</f>
        <v>195184.48386486695</v>
      </c>
      <c r="W68" s="6">
        <f t="shared" ref="W68:W70" si="26">Y9+Y28+K49</f>
        <v>11518.811723915946</v>
      </c>
    </row>
    <row r="69" spans="10:23" x14ac:dyDescent="0.2">
      <c r="L69" s="13">
        <f t="shared" si="25"/>
        <v>200668.66381688431</v>
      </c>
      <c r="M69" s="13">
        <f>L69-'[5]20-21 MOU'!$D$65</f>
        <v>187707.17035079843</v>
      </c>
      <c r="W69" s="6">
        <f t="shared" si="26"/>
        <v>10856.546878318211</v>
      </c>
    </row>
    <row r="70" spans="10:23" x14ac:dyDescent="0.2">
      <c r="L70" s="13">
        <f>L21+L40+L61</f>
        <v>694434.99117596168</v>
      </c>
      <c r="M70" s="13">
        <f>L70-'[5]20-21 MOU'!$E$65</f>
        <v>676965.36279758334</v>
      </c>
      <c r="W70" s="6">
        <f t="shared" si="26"/>
        <v>33328.637775378389</v>
      </c>
    </row>
    <row r="71" spans="10:23" x14ac:dyDescent="0.2">
      <c r="W71" s="122">
        <f>Y12+Y31+K52</f>
        <v>109661.13119255734</v>
      </c>
    </row>
    <row r="72" spans="10:23" x14ac:dyDescent="0.2">
      <c r="W72" s="6">
        <f>SUM(W67:W71)</f>
        <v>182768.55198759557</v>
      </c>
    </row>
  </sheetData>
  <mergeCells count="1">
    <mergeCell ref="T1:U1"/>
  </mergeCells>
  <pageMargins left="0.75" right="0.75" top="1" bottom="1" header="0.5" footer="0.5"/>
  <pageSetup scale="63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3"/>
  <sheetViews>
    <sheetView workbookViewId="0">
      <selection activeCell="G14" sqref="G14"/>
    </sheetView>
  </sheetViews>
  <sheetFormatPr defaultColWidth="9.140625" defaultRowHeight="15" x14ac:dyDescent="0.25"/>
  <cols>
    <col min="1" max="1" width="5.7109375" style="108" customWidth="1"/>
    <col min="2" max="2" width="11.5703125" style="108" bestFit="1" customWidth="1"/>
    <col min="3" max="3" width="7.85546875" style="108" bestFit="1" customWidth="1"/>
    <col min="4" max="4" width="13.7109375" style="108" bestFit="1" customWidth="1"/>
    <col min="5" max="5" width="3" style="108" customWidth="1"/>
    <col min="6" max="6" width="7.85546875" style="108" bestFit="1" customWidth="1"/>
    <col min="7" max="7" width="12.5703125" style="108" bestFit="1" customWidth="1"/>
    <col min="8" max="8" width="11.5703125" style="108" bestFit="1" customWidth="1"/>
    <col min="9" max="9" width="12.5703125" style="108" bestFit="1" customWidth="1"/>
    <col min="10" max="10" width="3" style="108" customWidth="1"/>
    <col min="11" max="11" width="6.85546875" style="108" bestFit="1" customWidth="1"/>
    <col min="12" max="12" width="12.5703125" style="108" bestFit="1" customWidth="1"/>
    <col min="13" max="13" width="11.5703125" style="108" bestFit="1" customWidth="1"/>
    <col min="14" max="14" width="12.5703125" style="108" bestFit="1" customWidth="1"/>
    <col min="15" max="16384" width="9.140625" style="108"/>
  </cols>
  <sheetData>
    <row r="1" spans="1:14" x14ac:dyDescent="0.25">
      <c r="A1" s="108" t="s">
        <v>90</v>
      </c>
      <c r="N1" s="109">
        <v>43580</v>
      </c>
    </row>
    <row r="2" spans="1:14" x14ac:dyDescent="0.25">
      <c r="A2" s="108" t="s">
        <v>91</v>
      </c>
    </row>
    <row r="4" spans="1:14" x14ac:dyDescent="0.25">
      <c r="H4" s="110">
        <v>0.15833794205044455</v>
      </c>
      <c r="I4" s="110">
        <v>0.84166206098310303</v>
      </c>
      <c r="M4" s="110">
        <v>0.17417834015087089</v>
      </c>
      <c r="N4" s="110">
        <v>0.82582165984912903</v>
      </c>
    </row>
    <row r="5" spans="1:14" x14ac:dyDescent="0.25">
      <c r="C5" s="108" t="s">
        <v>63</v>
      </c>
      <c r="D5" s="108" t="s">
        <v>92</v>
      </c>
      <c r="F5" s="108" t="s">
        <v>64</v>
      </c>
      <c r="G5" s="108" t="s">
        <v>64</v>
      </c>
      <c r="H5" s="108" t="s">
        <v>64</v>
      </c>
      <c r="I5" s="108" t="s">
        <v>64</v>
      </c>
      <c r="K5" s="108" t="s">
        <v>76</v>
      </c>
      <c r="L5" s="108" t="s">
        <v>76</v>
      </c>
      <c r="M5" s="108" t="s">
        <v>76</v>
      </c>
      <c r="N5" s="108" t="s">
        <v>76</v>
      </c>
    </row>
    <row r="6" spans="1:14" x14ac:dyDescent="0.25">
      <c r="A6" s="108" t="s">
        <v>61</v>
      </c>
      <c r="C6" s="108" t="s">
        <v>93</v>
      </c>
      <c r="D6" s="108" t="s">
        <v>78</v>
      </c>
      <c r="F6" s="108" t="s">
        <v>93</v>
      </c>
      <c r="G6" s="108" t="s">
        <v>94</v>
      </c>
      <c r="H6" s="108" t="s">
        <v>92</v>
      </c>
      <c r="I6" s="108" t="s">
        <v>95</v>
      </c>
      <c r="K6" s="108" t="s">
        <v>93</v>
      </c>
      <c r="L6" s="108" t="s">
        <v>94</v>
      </c>
      <c r="M6" s="108" t="s">
        <v>92</v>
      </c>
      <c r="N6" s="108" t="s">
        <v>95</v>
      </c>
    </row>
    <row r="7" spans="1:14" x14ac:dyDescent="0.25">
      <c r="A7" s="108">
        <v>56</v>
      </c>
      <c r="B7" s="111" t="s">
        <v>7</v>
      </c>
      <c r="C7" s="112">
        <v>0.199504855139747</v>
      </c>
      <c r="D7" s="113">
        <v>123030.94812906702</v>
      </c>
      <c r="F7" s="112">
        <v>0.19879011485780587</v>
      </c>
      <c r="G7" s="113">
        <v>120320.01692149177</v>
      </c>
      <c r="H7" s="113">
        <f>G7*H$4</f>
        <v>19051.223866823671</v>
      </c>
      <c r="I7" s="113">
        <f>G7-H7</f>
        <v>101268.7930546681</v>
      </c>
      <c r="K7" s="112">
        <v>0.31652831500432949</v>
      </c>
      <c r="L7" s="113">
        <v>191734.64538508313</v>
      </c>
      <c r="M7" s="113">
        <f t="shared" ref="M7:M10" si="0">L7*M$4</f>
        <v>33396.02228258962</v>
      </c>
      <c r="N7" s="113">
        <f t="shared" ref="N7:N10" si="1">L7-M7</f>
        <v>158338.62310249353</v>
      </c>
    </row>
    <row r="8" spans="1:14" x14ac:dyDescent="0.25">
      <c r="A8" s="108">
        <v>58</v>
      </c>
      <c r="B8" s="111" t="s">
        <v>8</v>
      </c>
      <c r="C8" s="112">
        <v>0.15975648837122686</v>
      </c>
      <c r="D8" s="113">
        <v>98518.866722890511</v>
      </c>
      <c r="F8" s="112">
        <v>0.15780534727683959</v>
      </c>
      <c r="G8" s="113">
        <v>95513.512169519512</v>
      </c>
      <c r="H8" s="113">
        <f>G8*H$4</f>
        <v>15123.412954931811</v>
      </c>
      <c r="I8" s="113">
        <f t="shared" ref="I8:I10" si="2">G8-H8</f>
        <v>80390.099214587695</v>
      </c>
      <c r="K8" s="112">
        <v>0.1550789615448282</v>
      </c>
      <c r="L8" s="113">
        <v>93937.914205488618</v>
      </c>
      <c r="M8" s="113">
        <f t="shared" si="0"/>
        <v>16361.949973546924</v>
      </c>
      <c r="N8" s="113">
        <f t="shared" si="1"/>
        <v>77575.964231941689</v>
      </c>
    </row>
    <row r="9" spans="1:14" x14ac:dyDescent="0.25">
      <c r="A9" s="108">
        <v>61</v>
      </c>
      <c r="B9" s="111" t="s">
        <v>9</v>
      </c>
      <c r="C9" s="112">
        <v>0.13667139668296607</v>
      </c>
      <c r="D9" s="113">
        <v>84282.718354151773</v>
      </c>
      <c r="F9" s="112">
        <v>0.15356909708883132</v>
      </c>
      <c r="G9" s="113">
        <v>92949.472731897476</v>
      </c>
      <c r="H9" s="113">
        <f>G9*H$4</f>
        <v>14717.428227042557</v>
      </c>
      <c r="I9" s="113">
        <f t="shared" si="2"/>
        <v>78232.044504854915</v>
      </c>
      <c r="K9" s="112">
        <v>0.15548105761023931</v>
      </c>
      <c r="L9" s="113">
        <v>94181.480871906067</v>
      </c>
      <c r="M9" s="113">
        <f t="shared" si="0"/>
        <v>16404.374011219596</v>
      </c>
      <c r="N9" s="113">
        <f t="shared" si="1"/>
        <v>77777.106860686472</v>
      </c>
    </row>
    <row r="10" spans="1:14" x14ac:dyDescent="0.25">
      <c r="A10" s="108">
        <v>84</v>
      </c>
      <c r="B10" s="111" t="s">
        <v>10</v>
      </c>
      <c r="C10" s="112">
        <v>0.50406725980606015</v>
      </c>
      <c r="D10" s="113">
        <v>310848.94075044</v>
      </c>
      <c r="F10" s="112">
        <v>0.4898354407765233</v>
      </c>
      <c r="G10" s="113">
        <v>296478.56768499367</v>
      </c>
      <c r="H10" s="113">
        <f>G10*H$4</f>
        <v>46943.806269305329</v>
      </c>
      <c r="I10" s="113">
        <f t="shared" si="2"/>
        <v>249534.76141568835</v>
      </c>
      <c r="K10" s="112">
        <v>0.37291166584060303</v>
      </c>
      <c r="L10" s="113">
        <v>225888.43594902611</v>
      </c>
      <c r="M10" s="113">
        <f t="shared" si="0"/>
        <v>39344.872832877678</v>
      </c>
      <c r="N10" s="113">
        <f t="shared" si="1"/>
        <v>186543.56311614843</v>
      </c>
    </row>
    <row r="11" spans="1:14" x14ac:dyDescent="0.25">
      <c r="B11" s="108" t="s">
        <v>73</v>
      </c>
      <c r="C11" s="114">
        <f>SUM(C7:C10)</f>
        <v>1</v>
      </c>
      <c r="D11" s="115">
        <f>SUM(D7:D10)</f>
        <v>616681.47395654931</v>
      </c>
      <c r="F11" s="114">
        <f>SUM(F7:F10)</f>
        <v>1</v>
      </c>
      <c r="G11" s="113">
        <f>SUM(G7:G10)</f>
        <v>605261.56950790249</v>
      </c>
      <c r="H11" s="113">
        <f>SUM(H7:H10)</f>
        <v>95835.871318103367</v>
      </c>
      <c r="I11" s="113">
        <f>SUM(I7:I10)</f>
        <v>509425.69818979909</v>
      </c>
      <c r="K11" s="114">
        <f>SUM(K7:K10)</f>
        <v>1</v>
      </c>
      <c r="L11" s="113">
        <f>SUM(L7:L10)</f>
        <v>605742.47641150397</v>
      </c>
      <c r="M11" s="113">
        <f>SUM(M7:M10)</f>
        <v>105507.21910023381</v>
      </c>
      <c r="N11" s="113">
        <f>SUM(N7:N10)</f>
        <v>500235.25731127011</v>
      </c>
    </row>
    <row r="12" spans="1:14" x14ac:dyDescent="0.25">
      <c r="D12" s="116"/>
      <c r="F12" s="116"/>
    </row>
    <row r="13" spans="1:14" x14ac:dyDescent="0.25">
      <c r="A13" s="108" t="s">
        <v>96</v>
      </c>
      <c r="D13" s="116"/>
      <c r="F13" s="116"/>
      <c r="G13" s="117">
        <f>D11+G11+L11</f>
        <v>1827685.5198759558</v>
      </c>
    </row>
  </sheetData>
  <pageMargins left="0.45" right="0.45" top="0.75" bottom="0.75" header="0.3" footer="0.3"/>
  <pageSetup scale="9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9"/>
  <sheetViews>
    <sheetView workbookViewId="0">
      <selection activeCell="D9" sqref="D9"/>
    </sheetView>
  </sheetViews>
  <sheetFormatPr defaultColWidth="9.140625" defaultRowHeight="15" x14ac:dyDescent="0.25"/>
  <cols>
    <col min="1" max="1" width="3" style="62" bestFit="1" customWidth="1"/>
    <col min="2" max="2" width="11.5703125" style="62" bestFit="1" customWidth="1"/>
    <col min="3" max="3" width="7" style="62" bestFit="1" customWidth="1"/>
    <col min="4" max="4" width="10" style="62" customWidth="1"/>
    <col min="5" max="5" width="10.85546875" style="62" customWidth="1"/>
    <col min="6" max="6" width="13.85546875" style="62" customWidth="1"/>
    <col min="7" max="7" width="9.85546875" style="62" customWidth="1"/>
    <col min="8" max="8" width="2.85546875" style="62" customWidth="1"/>
    <col min="9" max="9" width="10" style="62" customWidth="1"/>
    <col min="10" max="10" width="10.85546875" style="62" customWidth="1"/>
    <col min="11" max="11" width="13.85546875" style="62" customWidth="1"/>
    <col min="12" max="12" width="9.85546875" style="62" customWidth="1"/>
    <col min="13" max="13" width="3" style="62" customWidth="1"/>
    <col min="14" max="14" width="10" style="62" customWidth="1"/>
    <col min="15" max="15" width="10.85546875" style="62" customWidth="1"/>
    <col min="16" max="16" width="13.85546875" style="62" customWidth="1"/>
    <col min="17" max="17" width="9.85546875" style="62" customWidth="1"/>
    <col min="18" max="16384" width="9.140625" style="62"/>
  </cols>
  <sheetData>
    <row r="1" spans="1:17" x14ac:dyDescent="0.25">
      <c r="A1" s="62" t="s">
        <v>67</v>
      </c>
      <c r="Q1" s="71">
        <v>43230</v>
      </c>
    </row>
    <row r="2" spans="1:17" x14ac:dyDescent="0.25">
      <c r="A2" s="62" t="s">
        <v>65</v>
      </c>
    </row>
    <row r="3" spans="1:17" x14ac:dyDescent="0.25">
      <c r="D3" s="200" t="s">
        <v>64</v>
      </c>
      <c r="E3" s="200"/>
      <c r="F3" s="200"/>
      <c r="G3" s="200"/>
      <c r="I3" s="200" t="s">
        <v>63</v>
      </c>
      <c r="J3" s="200"/>
      <c r="K3" s="200"/>
      <c r="L3" s="200"/>
      <c r="N3" s="200" t="s">
        <v>62</v>
      </c>
      <c r="O3" s="200"/>
      <c r="P3" s="200"/>
      <c r="Q3" s="200"/>
    </row>
    <row r="4" spans="1:17" s="69" customFormat="1" ht="30" customHeight="1" x14ac:dyDescent="0.25">
      <c r="A4" s="69" t="s">
        <v>61</v>
      </c>
      <c r="B4" s="69" t="s">
        <v>2</v>
      </c>
      <c r="C4" s="69" t="s">
        <v>60</v>
      </c>
      <c r="D4" s="69" t="s">
        <v>59</v>
      </c>
      <c r="E4" s="69" t="s">
        <v>58</v>
      </c>
      <c r="F4" s="69" t="s">
        <v>57</v>
      </c>
      <c r="G4" s="69" t="s">
        <v>56</v>
      </c>
      <c r="I4" s="69" t="s">
        <v>59</v>
      </c>
      <c r="J4" s="69" t="s">
        <v>58</v>
      </c>
      <c r="K4" s="69" t="s">
        <v>57</v>
      </c>
      <c r="L4" s="69" t="s">
        <v>56</v>
      </c>
      <c r="N4" s="69" t="s">
        <v>59</v>
      </c>
      <c r="O4" s="69" t="s">
        <v>58</v>
      </c>
      <c r="P4" s="69" t="s">
        <v>57</v>
      </c>
      <c r="Q4" s="69" t="s">
        <v>56</v>
      </c>
    </row>
    <row r="5" spans="1:17" s="66" customFormat="1" ht="16.5" customHeight="1" x14ac:dyDescent="0.25">
      <c r="A5" s="70">
        <v>56</v>
      </c>
      <c r="B5" s="69" t="s">
        <v>7</v>
      </c>
      <c r="C5" s="69" t="s">
        <v>5</v>
      </c>
      <c r="D5" s="64">
        <v>94419.669946921756</v>
      </c>
      <c r="E5" s="68">
        <v>0.18771775637760665</v>
      </c>
      <c r="F5" s="64">
        <v>-3663.2405396413128</v>
      </c>
      <c r="G5" s="67">
        <v>90756.429407280448</v>
      </c>
      <c r="H5" s="69"/>
      <c r="I5" s="64">
        <v>96681.148427070977</v>
      </c>
      <c r="J5" s="68">
        <v>0.18783994723704944</v>
      </c>
      <c r="K5" s="64">
        <v>-3885.1339261187909</v>
      </c>
      <c r="L5" s="67">
        <v>92796.01450095218</v>
      </c>
      <c r="M5" s="69"/>
      <c r="N5" s="64">
        <v>174033.4760780677</v>
      </c>
      <c r="O5" s="68">
        <v>0.30675755809081201</v>
      </c>
      <c r="P5" s="64">
        <v>10385.259992564816</v>
      </c>
      <c r="Q5" s="67">
        <v>184418.73607063253</v>
      </c>
    </row>
    <row r="6" spans="1:17" s="66" customFormat="1" ht="16.5" customHeight="1" x14ac:dyDescent="0.25">
      <c r="A6" s="70">
        <v>58</v>
      </c>
      <c r="B6" s="69" t="s">
        <v>8</v>
      </c>
      <c r="C6" s="69" t="s">
        <v>5</v>
      </c>
      <c r="D6" s="64">
        <v>78680.615265703585</v>
      </c>
      <c r="E6" s="68">
        <v>0.15642660662116692</v>
      </c>
      <c r="F6" s="64">
        <v>-3052.6056666717168</v>
      </c>
      <c r="G6" s="67">
        <v>75628.009599031866</v>
      </c>
      <c r="H6" s="69"/>
      <c r="I6" s="64">
        <v>81499.527807277758</v>
      </c>
      <c r="J6" s="68">
        <v>0.15834386798488809</v>
      </c>
      <c r="K6" s="64">
        <v>-3275.0601911350227</v>
      </c>
      <c r="L6" s="67">
        <v>78224.467616142734</v>
      </c>
      <c r="M6" s="69"/>
      <c r="N6" s="64">
        <v>90033.71781756953</v>
      </c>
      <c r="O6" s="68">
        <v>0.15869661427187595</v>
      </c>
      <c r="P6" s="64">
        <v>5372.6650108008143</v>
      </c>
      <c r="Q6" s="67">
        <v>95406.382828370348</v>
      </c>
    </row>
    <row r="7" spans="1:17" s="66" customFormat="1" ht="16.5" customHeight="1" x14ac:dyDescent="0.25">
      <c r="A7" s="70">
        <v>61</v>
      </c>
      <c r="B7" s="69" t="s">
        <v>9</v>
      </c>
      <c r="C7" s="69" t="s">
        <v>5</v>
      </c>
      <c r="D7" s="64">
        <v>73526.416003932041</v>
      </c>
      <c r="E7" s="68">
        <v>0.14617943331621072</v>
      </c>
      <c r="F7" s="64">
        <v>-2852.6359813749464</v>
      </c>
      <c r="G7" s="67">
        <v>70673.780022557097</v>
      </c>
      <c r="H7" s="69"/>
      <c r="I7" s="64">
        <v>66146.071402608301</v>
      </c>
      <c r="J7" s="68">
        <v>0.12851393228511807</v>
      </c>
      <c r="K7" s="64">
        <v>-2658.081231622944</v>
      </c>
      <c r="L7" s="67">
        <v>63487.990170985358</v>
      </c>
      <c r="M7" s="69"/>
      <c r="N7" s="64">
        <v>76919.230176314464</v>
      </c>
      <c r="O7" s="68">
        <v>0.13558055467746252</v>
      </c>
      <c r="P7" s="64">
        <v>4590.0721045796181</v>
      </c>
      <c r="Q7" s="67">
        <v>81509.302280894088</v>
      </c>
    </row>
    <row r="8" spans="1:17" s="66" customFormat="1" ht="16.5" customHeight="1" x14ac:dyDescent="0.25">
      <c r="A8" s="70">
        <v>84</v>
      </c>
      <c r="B8" s="69" t="s">
        <v>10</v>
      </c>
      <c r="C8" s="69" t="s">
        <v>5</v>
      </c>
      <c r="D8" s="64">
        <v>256360.7186681676</v>
      </c>
      <c r="E8" s="68">
        <v>0.50967620368501565</v>
      </c>
      <c r="F8" s="64">
        <v>-9946.1370488240063</v>
      </c>
      <c r="G8" s="67">
        <v>246414.5816193436</v>
      </c>
      <c r="H8" s="69"/>
      <c r="I8" s="64">
        <v>270372.86684420402</v>
      </c>
      <c r="J8" s="68">
        <v>0.52530225249294438</v>
      </c>
      <c r="K8" s="64">
        <v>-10864.939181714259</v>
      </c>
      <c r="L8" s="67">
        <v>259507.92766248976</v>
      </c>
      <c r="M8" s="69"/>
      <c r="N8" s="64">
        <v>226345.89256667247</v>
      </c>
      <c r="O8" s="68">
        <v>0.39896527295984952</v>
      </c>
      <c r="P8" s="64">
        <v>13506.947028395738</v>
      </c>
      <c r="Q8" s="67">
        <v>239852.83959506822</v>
      </c>
    </row>
    <row r="9" spans="1:17" x14ac:dyDescent="0.25">
      <c r="D9" s="64">
        <f>SUM(D5:D8)</f>
        <v>502987.41988472501</v>
      </c>
      <c r="E9" s="65">
        <f>SUM(E5:E8)</f>
        <v>1</v>
      </c>
      <c r="F9" s="64">
        <f>SUM(F5:F8)</f>
        <v>-19514.619236511982</v>
      </c>
      <c r="G9" s="63">
        <f>SUM(G5:G8)</f>
        <v>483472.80064821301</v>
      </c>
      <c r="I9" s="64">
        <f>SUM(I5:I8)</f>
        <v>514699.61448116106</v>
      </c>
      <c r="J9" s="65">
        <f>SUM(J5:J8)</f>
        <v>1</v>
      </c>
      <c r="K9" s="64">
        <f>SUM(K5:K8)</f>
        <v>-20683.214530591016</v>
      </c>
      <c r="L9" s="63">
        <f>SUM(L5:L8)</f>
        <v>494016.39995057002</v>
      </c>
      <c r="N9" s="64">
        <f>SUM(N5:N8)</f>
        <v>567332.31663862418</v>
      </c>
      <c r="O9" s="65">
        <f>SUM(O5:O8)</f>
        <v>1</v>
      </c>
      <c r="P9" s="64">
        <f>SUM(P5:P8)</f>
        <v>33854.944136340986</v>
      </c>
      <c r="Q9" s="63">
        <f>SUM(Q5:Q8)</f>
        <v>601187.26077496517</v>
      </c>
    </row>
    <row r="11" spans="1:17" x14ac:dyDescent="0.25">
      <c r="A11" s="62" t="s">
        <v>66</v>
      </c>
    </row>
    <row r="12" spans="1:17" x14ac:dyDescent="0.25">
      <c r="A12" s="62" t="s">
        <v>65</v>
      </c>
    </row>
    <row r="13" spans="1:17" x14ac:dyDescent="0.25">
      <c r="D13" s="200" t="s">
        <v>64</v>
      </c>
      <c r="E13" s="200"/>
      <c r="F13" s="200"/>
      <c r="G13" s="200"/>
      <c r="I13" s="200" t="s">
        <v>63</v>
      </c>
      <c r="J13" s="200"/>
      <c r="K13" s="200"/>
      <c r="L13" s="200"/>
      <c r="N13" s="200" t="s">
        <v>62</v>
      </c>
      <c r="O13" s="200"/>
      <c r="P13" s="200"/>
      <c r="Q13" s="200"/>
    </row>
    <row r="14" spans="1:17" s="69" customFormat="1" ht="30" customHeight="1" x14ac:dyDescent="0.25">
      <c r="A14" s="69" t="s">
        <v>61</v>
      </c>
      <c r="B14" s="69" t="s">
        <v>2</v>
      </c>
      <c r="C14" s="69" t="s">
        <v>60</v>
      </c>
      <c r="D14" s="69" t="s">
        <v>59</v>
      </c>
      <c r="E14" s="69" t="s">
        <v>58</v>
      </c>
      <c r="F14" s="69" t="s">
        <v>57</v>
      </c>
      <c r="G14" s="69" t="s">
        <v>56</v>
      </c>
      <c r="I14" s="69" t="s">
        <v>59</v>
      </c>
      <c r="J14" s="69" t="s">
        <v>58</v>
      </c>
      <c r="K14" s="69" t="s">
        <v>57</v>
      </c>
      <c r="L14" s="69" t="s">
        <v>56</v>
      </c>
      <c r="N14" s="69" t="s">
        <v>59</v>
      </c>
      <c r="O14" s="69" t="s">
        <v>58</v>
      </c>
      <c r="P14" s="69" t="s">
        <v>57</v>
      </c>
      <c r="Q14" s="69" t="s">
        <v>56</v>
      </c>
    </row>
    <row r="15" spans="1:17" s="66" customFormat="1" ht="16.5" customHeight="1" x14ac:dyDescent="0.25">
      <c r="A15" s="70">
        <v>7</v>
      </c>
      <c r="B15" s="69" t="s">
        <v>55</v>
      </c>
      <c r="C15" s="69" t="s">
        <v>51</v>
      </c>
      <c r="D15" s="64">
        <v>309071.77560627752</v>
      </c>
      <c r="E15" s="68">
        <v>0.36679775778586432</v>
      </c>
      <c r="F15" s="64">
        <v>-10652.835645626177</v>
      </c>
      <c r="G15" s="67">
        <v>298418.93996065133</v>
      </c>
      <c r="H15" s="69"/>
      <c r="I15" s="64">
        <v>310085.25181780866</v>
      </c>
      <c r="J15" s="68">
        <v>0.35302635795180132</v>
      </c>
      <c r="K15" s="64">
        <v>-10733.44528118575</v>
      </c>
      <c r="L15" s="67">
        <v>299351.80653662293</v>
      </c>
      <c r="M15" s="69"/>
      <c r="N15" s="64">
        <v>358652.0143686037</v>
      </c>
      <c r="O15" s="68">
        <v>0.4041172348862771</v>
      </c>
      <c r="P15" s="64">
        <v>-4254.1516688463798</v>
      </c>
      <c r="Q15" s="67">
        <v>354397.86269975733</v>
      </c>
    </row>
    <row r="16" spans="1:17" s="66" customFormat="1" ht="16.5" customHeight="1" x14ac:dyDescent="0.25">
      <c r="A16" s="70">
        <v>10</v>
      </c>
      <c r="B16" s="69" t="s">
        <v>54</v>
      </c>
      <c r="C16" s="69" t="s">
        <v>51</v>
      </c>
      <c r="D16" s="64">
        <v>107254.27424511395</v>
      </c>
      <c r="E16" s="68">
        <v>0.12728637944660945</v>
      </c>
      <c r="F16" s="64">
        <v>-3696.7534598811458</v>
      </c>
      <c r="G16" s="67">
        <v>103557.5207852328</v>
      </c>
      <c r="H16" s="69"/>
      <c r="I16" s="64">
        <v>118562.82868227207</v>
      </c>
      <c r="J16" s="68">
        <v>0.13498160055273559</v>
      </c>
      <c r="K16" s="64">
        <v>-4103.99277806182</v>
      </c>
      <c r="L16" s="67">
        <v>114458.83590421025</v>
      </c>
      <c r="M16" s="69"/>
      <c r="N16" s="64">
        <v>95416.755368921455</v>
      </c>
      <c r="O16" s="68">
        <v>0.10751244603879287</v>
      </c>
      <c r="P16" s="64">
        <v>-1131.7860567525586</v>
      </c>
      <c r="Q16" s="67">
        <v>94284.969312168891</v>
      </c>
    </row>
    <row r="17" spans="1:17" s="66" customFormat="1" ht="16.5" customHeight="1" x14ac:dyDescent="0.25">
      <c r="A17" s="70">
        <v>34</v>
      </c>
      <c r="B17" s="69" t="s">
        <v>53</v>
      </c>
      <c r="C17" s="69" t="s">
        <v>51</v>
      </c>
      <c r="D17" s="64">
        <v>68266.282962264726</v>
      </c>
      <c r="E17" s="68">
        <v>8.1016519459971903E-2</v>
      </c>
      <c r="F17" s="64">
        <v>-2352.9469525590871</v>
      </c>
      <c r="G17" s="67">
        <v>65913.336009705643</v>
      </c>
      <c r="H17" s="69"/>
      <c r="I17" s="64">
        <v>70255.68804468849</v>
      </c>
      <c r="J17" s="68">
        <v>7.9984809114323263E-2</v>
      </c>
      <c r="K17" s="64">
        <v>-2431.8653625061297</v>
      </c>
      <c r="L17" s="67">
        <v>67823.822682182363</v>
      </c>
      <c r="M17" s="69"/>
      <c r="N17" s="64">
        <v>59991.141475942437</v>
      </c>
      <c r="O17" s="68">
        <v>6.7596035264458773E-2</v>
      </c>
      <c r="P17" s="64">
        <v>-711.58505850070856</v>
      </c>
      <c r="Q17" s="67">
        <v>59279.55641744173</v>
      </c>
    </row>
    <row r="18" spans="1:17" s="66" customFormat="1" ht="16.5" customHeight="1" x14ac:dyDescent="0.25">
      <c r="A18" s="70">
        <v>41</v>
      </c>
      <c r="B18" s="69" t="s">
        <v>52</v>
      </c>
      <c r="C18" s="69" t="s">
        <v>51</v>
      </c>
      <c r="D18" s="64">
        <v>358029.43639223115</v>
      </c>
      <c r="E18" s="68">
        <v>0.42489934330755436</v>
      </c>
      <c r="F18" s="64">
        <v>-12340.268646986555</v>
      </c>
      <c r="G18" s="67">
        <v>345689.16774524457</v>
      </c>
      <c r="H18" s="69"/>
      <c r="I18" s="64">
        <v>379459.12089178833</v>
      </c>
      <c r="J18" s="68">
        <v>0.43200723238113981</v>
      </c>
      <c r="K18" s="64">
        <v>-13134.78692282954</v>
      </c>
      <c r="L18" s="67">
        <v>366324.33396895882</v>
      </c>
      <c r="M18" s="69"/>
      <c r="N18" s="64">
        <v>373435.06154989952</v>
      </c>
      <c r="O18" s="68">
        <v>0.42077428381047127</v>
      </c>
      <c r="P18" s="64">
        <v>-4429.5008159790377</v>
      </c>
      <c r="Q18" s="67">
        <v>369005.56073392049</v>
      </c>
    </row>
    <row r="19" spans="1:17" x14ac:dyDescent="0.25">
      <c r="D19" s="64">
        <f>SUM(D15:D18)</f>
        <v>842621.76920588734</v>
      </c>
      <c r="E19" s="65">
        <f>SUM(E15:E18)</f>
        <v>1</v>
      </c>
      <c r="F19" s="64">
        <f>SUM(F15:F18)</f>
        <v>-29042.804705052964</v>
      </c>
      <c r="G19" s="63">
        <f>SUM(G15:G18)</f>
        <v>813578.96450083435</v>
      </c>
      <c r="I19" s="64">
        <f>SUM(I15:I18)</f>
        <v>878362.88943655754</v>
      </c>
      <c r="J19" s="65">
        <f>SUM(J15:J18)</f>
        <v>1</v>
      </c>
      <c r="K19" s="64">
        <f>SUM(K15:K18)</f>
        <v>-30404.090344583237</v>
      </c>
      <c r="L19" s="63">
        <f>SUM(L15:L18)</f>
        <v>847958.79909197427</v>
      </c>
      <c r="N19" s="64">
        <f>SUM(N15:N18)</f>
        <v>887494.97276336711</v>
      </c>
      <c r="O19" s="65">
        <f>SUM(O15:O18)</f>
        <v>1</v>
      </c>
      <c r="P19" s="64">
        <f>SUM(P15:P18)</f>
        <v>-10527.023600078684</v>
      </c>
      <c r="Q19" s="63">
        <f>SUM(Q15:Q18)</f>
        <v>876967.94916328846</v>
      </c>
    </row>
  </sheetData>
  <mergeCells count="6">
    <mergeCell ref="D3:G3"/>
    <mergeCell ref="I3:L3"/>
    <mergeCell ref="N3:Q3"/>
    <mergeCell ref="D13:G13"/>
    <mergeCell ref="I13:L13"/>
    <mergeCell ref="N13:Q1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23"/>
  <sheetViews>
    <sheetView workbookViewId="0">
      <selection activeCell="G5" sqref="G5"/>
    </sheetView>
  </sheetViews>
  <sheetFormatPr defaultColWidth="9.140625" defaultRowHeight="15" x14ac:dyDescent="0.25"/>
  <cols>
    <col min="1" max="1" width="11.85546875" style="62" customWidth="1"/>
    <col min="2" max="2" width="11.5703125" style="62" bestFit="1" customWidth="1"/>
    <col min="3" max="3" width="14.42578125" style="62" customWidth="1"/>
    <col min="4" max="4" width="10" style="62" customWidth="1"/>
    <col min="5" max="5" width="10.85546875" style="62" customWidth="1"/>
    <col min="6" max="6" width="13.85546875" style="62" customWidth="1"/>
    <col min="7" max="7" width="9.85546875" style="62" customWidth="1"/>
    <col min="8" max="8" width="12.28515625" style="62" customWidth="1"/>
    <col min="9" max="9" width="10" style="62" customWidth="1"/>
    <col min="10" max="10" width="10.85546875" style="62" customWidth="1"/>
    <col min="11" max="11" width="13.85546875" style="62" customWidth="1"/>
    <col min="12" max="12" width="9.85546875" style="62" customWidth="1"/>
    <col min="13" max="13" width="9.7109375" style="62" customWidth="1"/>
    <col min="14" max="14" width="10" style="62" customWidth="1"/>
    <col min="15" max="15" width="10.85546875" style="62" customWidth="1"/>
    <col min="16" max="16" width="13.85546875" style="62" customWidth="1"/>
    <col min="17" max="17" width="9.85546875" style="62" customWidth="1"/>
    <col min="18" max="16384" width="9.140625" style="62"/>
  </cols>
  <sheetData>
    <row r="1" spans="1:17" x14ac:dyDescent="0.25">
      <c r="A1" s="62" t="s">
        <v>67</v>
      </c>
      <c r="Q1" s="71">
        <v>43230</v>
      </c>
    </row>
    <row r="2" spans="1:17" x14ac:dyDescent="0.25">
      <c r="A2" s="62" t="s">
        <v>65</v>
      </c>
      <c r="F2" s="86" t="s">
        <v>74</v>
      </c>
      <c r="G2" s="86"/>
      <c r="H2" s="86"/>
      <c r="I2" s="86"/>
    </row>
    <row r="3" spans="1:17" x14ac:dyDescent="0.25">
      <c r="D3" s="200" t="s">
        <v>64</v>
      </c>
      <c r="E3" s="200"/>
      <c r="F3" s="200"/>
      <c r="G3" s="200"/>
      <c r="I3" s="200" t="s">
        <v>63</v>
      </c>
      <c r="J3" s="200"/>
      <c r="K3" s="200"/>
      <c r="L3" s="200"/>
      <c r="N3" s="200" t="s">
        <v>62</v>
      </c>
      <c r="O3" s="200"/>
      <c r="P3" s="200"/>
      <c r="Q3" s="200"/>
    </row>
    <row r="4" spans="1:17" s="69" customFormat="1" ht="30" customHeight="1" x14ac:dyDescent="0.25">
      <c r="A4" s="69" t="s">
        <v>61</v>
      </c>
      <c r="B4" s="69" t="s">
        <v>2</v>
      </c>
      <c r="C4" s="69" t="s">
        <v>60</v>
      </c>
      <c r="D4" s="69" t="s">
        <v>59</v>
      </c>
      <c r="E4" s="69" t="s">
        <v>58</v>
      </c>
      <c r="F4" s="69" t="s">
        <v>57</v>
      </c>
      <c r="G4" s="69" t="s">
        <v>56</v>
      </c>
      <c r="I4" s="69" t="s">
        <v>59</v>
      </c>
      <c r="J4" s="69" t="s">
        <v>58</v>
      </c>
      <c r="K4" s="69" t="s">
        <v>57</v>
      </c>
      <c r="L4" s="69" t="s">
        <v>56</v>
      </c>
      <c r="N4" s="69" t="s">
        <v>59</v>
      </c>
      <c r="O4" s="69" t="s">
        <v>58</v>
      </c>
      <c r="P4" s="69" t="s">
        <v>57</v>
      </c>
      <c r="Q4" s="69" t="s">
        <v>56</v>
      </c>
    </row>
    <row r="5" spans="1:17" s="66" customFormat="1" x14ac:dyDescent="0.25">
      <c r="A5" s="70">
        <v>56</v>
      </c>
      <c r="B5" s="69" t="s">
        <v>7</v>
      </c>
      <c r="C5" s="69" t="s">
        <v>5</v>
      </c>
      <c r="D5" s="64"/>
      <c r="E5" s="68"/>
      <c r="F5" s="64"/>
      <c r="G5" s="67">
        <v>94499.811414673459</v>
      </c>
      <c r="H5" s="69"/>
      <c r="I5" s="64"/>
      <c r="J5" s="68"/>
      <c r="K5" s="64"/>
      <c r="L5" s="67">
        <v>96331.556524886735</v>
      </c>
      <c r="M5" s="69"/>
      <c r="N5" s="64"/>
      <c r="O5" s="68"/>
      <c r="P5" s="64"/>
      <c r="Q5" s="67">
        <v>188853.70173208654</v>
      </c>
    </row>
    <row r="6" spans="1:17" s="66" customFormat="1" x14ac:dyDescent="0.25">
      <c r="A6" s="70">
        <v>58</v>
      </c>
      <c r="B6" s="69" t="s">
        <v>8</v>
      </c>
      <c r="C6" s="69" t="s">
        <v>5</v>
      </c>
      <c r="D6" s="64"/>
      <c r="E6" s="68"/>
      <c r="F6" s="64"/>
      <c r="G6" s="67">
        <v>78747.397748575473</v>
      </c>
      <c r="H6" s="69"/>
      <c r="I6" s="64"/>
      <c r="J6" s="68"/>
      <c r="K6" s="64"/>
      <c r="L6" s="67">
        <v>81204.831525564121</v>
      </c>
      <c r="M6" s="69"/>
      <c r="N6" s="64"/>
      <c r="O6" s="68"/>
      <c r="P6" s="64"/>
      <c r="Q6" s="67">
        <v>97700.748578525483</v>
      </c>
    </row>
    <row r="7" spans="1:17" s="66" customFormat="1" x14ac:dyDescent="0.25">
      <c r="A7" s="70">
        <v>61</v>
      </c>
      <c r="B7" s="69" t="s">
        <v>9</v>
      </c>
      <c r="C7" s="69" t="s">
        <v>5</v>
      </c>
      <c r="D7" s="64"/>
      <c r="E7" s="68"/>
      <c r="F7" s="64"/>
      <c r="G7" s="67">
        <v>73588.823708813768</v>
      </c>
      <c r="H7" s="69"/>
      <c r="I7" s="64"/>
      <c r="J7" s="68"/>
      <c r="K7" s="64"/>
      <c r="L7" s="67">
        <v>65906.892086889944</v>
      </c>
      <c r="M7" s="69"/>
      <c r="N7" s="64"/>
      <c r="O7" s="68"/>
      <c r="P7" s="64"/>
      <c r="Q7" s="67">
        <v>83469.466223056603</v>
      </c>
    </row>
    <row r="8" spans="1:17" s="66" customFormat="1" x14ac:dyDescent="0.25">
      <c r="A8" s="70">
        <v>84</v>
      </c>
      <c r="B8" s="69" t="s">
        <v>10</v>
      </c>
      <c r="C8" s="69" t="s">
        <v>5</v>
      </c>
      <c r="D8" s="64"/>
      <c r="E8" s="68"/>
      <c r="F8" s="64"/>
      <c r="G8" s="67">
        <v>256578.31235685019</v>
      </c>
      <c r="H8" s="69"/>
      <c r="I8" s="64"/>
      <c r="J8" s="68"/>
      <c r="K8" s="64"/>
      <c r="L8" s="67">
        <v>269395.21849851467</v>
      </c>
      <c r="M8" s="69"/>
      <c r="N8" s="64"/>
      <c r="O8" s="68"/>
      <c r="P8" s="64"/>
      <c r="Q8" s="67">
        <v>245620.90378459255</v>
      </c>
    </row>
    <row r="9" spans="1:17" x14ac:dyDescent="0.25">
      <c r="D9" s="64">
        <f>SUM(D5:D8)</f>
        <v>0</v>
      </c>
      <c r="E9" s="65">
        <f>SUM(E5:E8)</f>
        <v>0</v>
      </c>
      <c r="F9" s="64">
        <f>SUM(F5:F8)</f>
        <v>0</v>
      </c>
      <c r="G9" s="63">
        <f>SUM(G5:G8)</f>
        <v>503414.34522891289</v>
      </c>
      <c r="I9" s="64">
        <f>SUM(I5:I8)</f>
        <v>0</v>
      </c>
      <c r="J9" s="65">
        <f>SUM(J5:J8)</f>
        <v>0</v>
      </c>
      <c r="K9" s="64">
        <f>SUM(K5:K8)</f>
        <v>0</v>
      </c>
      <c r="L9" s="63">
        <f>SUM(L5:L8)</f>
        <v>512838.4986358555</v>
      </c>
      <c r="N9" s="64">
        <f>SUM(N5:N8)</f>
        <v>0</v>
      </c>
      <c r="O9" s="65">
        <f>SUM(O5:O8)</f>
        <v>0</v>
      </c>
      <c r="P9" s="64">
        <f>SUM(P5:P8)</f>
        <v>0</v>
      </c>
      <c r="Q9" s="63">
        <f>SUM(Q5:Q8)</f>
        <v>615644.82031826116</v>
      </c>
    </row>
    <row r="12" spans="1:17" customFormat="1" x14ac:dyDescent="0.25">
      <c r="A12" s="75" t="s">
        <v>39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87">
        <v>43256</v>
      </c>
    </row>
    <row r="13" spans="1:17" customFormat="1" x14ac:dyDescent="0.25">
      <c r="A13" s="75" t="s">
        <v>75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</row>
    <row r="14" spans="1:17" customFormat="1" x14ac:dyDescent="0.2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</row>
    <row r="15" spans="1:17" customFormat="1" x14ac:dyDescent="0.25">
      <c r="A15" s="75"/>
      <c r="B15" s="75"/>
      <c r="C15" s="75"/>
      <c r="D15" s="75"/>
      <c r="E15" s="75"/>
      <c r="F15" s="75"/>
      <c r="G15" s="88">
        <v>0.15851781013254201</v>
      </c>
      <c r="H15" s="88">
        <v>0.84148217419548721</v>
      </c>
      <c r="I15" s="75"/>
      <c r="J15" s="75"/>
      <c r="K15" s="75"/>
      <c r="L15" s="88">
        <v>0.17437248026890337</v>
      </c>
      <c r="M15" s="88">
        <v>0.8256275197310966</v>
      </c>
    </row>
    <row r="16" spans="1:17" customFormat="1" x14ac:dyDescent="0.25">
      <c r="A16" s="75"/>
      <c r="B16" s="75" t="s">
        <v>63</v>
      </c>
      <c r="C16" s="75" t="s">
        <v>49</v>
      </c>
      <c r="D16" s="75"/>
      <c r="E16" s="75" t="s">
        <v>64</v>
      </c>
      <c r="F16" s="75" t="s">
        <v>64</v>
      </c>
      <c r="G16" s="75" t="s">
        <v>64</v>
      </c>
      <c r="H16" s="75" t="s">
        <v>64</v>
      </c>
      <c r="I16" s="75"/>
      <c r="J16" s="75" t="s">
        <v>76</v>
      </c>
      <c r="K16" s="75" t="s">
        <v>76</v>
      </c>
      <c r="L16" s="75" t="s">
        <v>76</v>
      </c>
      <c r="M16" s="75" t="s">
        <v>76</v>
      </c>
    </row>
    <row r="17" spans="1:13" customFormat="1" ht="30" x14ac:dyDescent="0.25">
      <c r="A17" s="75" t="s">
        <v>2</v>
      </c>
      <c r="B17" s="89" t="s">
        <v>77</v>
      </c>
      <c r="C17" s="75" t="s">
        <v>78</v>
      </c>
      <c r="D17" s="75"/>
      <c r="E17" s="89" t="s">
        <v>77</v>
      </c>
      <c r="F17" s="75" t="s">
        <v>79</v>
      </c>
      <c r="G17" s="75" t="s">
        <v>49</v>
      </c>
      <c r="H17" s="75" t="s">
        <v>80</v>
      </c>
      <c r="I17" s="75"/>
      <c r="J17" s="89" t="s">
        <v>77</v>
      </c>
      <c r="K17" s="75" t="s">
        <v>79</v>
      </c>
      <c r="L17" s="75" t="s">
        <v>49</v>
      </c>
      <c r="M17" s="75" t="s">
        <v>80</v>
      </c>
    </row>
    <row r="18" spans="1:13" customFormat="1" x14ac:dyDescent="0.25">
      <c r="A18" s="90" t="s">
        <v>7</v>
      </c>
      <c r="B18" s="73">
        <v>0.18783994723704941</v>
      </c>
      <c r="C18" s="74">
        <v>96331.556524886735</v>
      </c>
      <c r="D18" s="75"/>
      <c r="E18" s="73">
        <v>0.18771775637760668</v>
      </c>
      <c r="F18" s="76">
        <v>94499.811414673459</v>
      </c>
      <c r="G18" s="77">
        <f>F18*G$15</f>
        <v>14979.903163392233</v>
      </c>
      <c r="H18" s="78">
        <f>F18-G18</f>
        <v>79519.908251281231</v>
      </c>
      <c r="I18" s="75"/>
      <c r="J18" s="73">
        <v>0.30675755809081207</v>
      </c>
      <c r="K18" s="74">
        <v>188853.70173208654</v>
      </c>
      <c r="L18" s="77">
        <f>K18*L$15</f>
        <v>32930.88837898762</v>
      </c>
      <c r="M18" s="77">
        <f>K18-L18</f>
        <v>155922.81335309893</v>
      </c>
    </row>
    <row r="19" spans="1:13" customFormat="1" x14ac:dyDescent="0.25">
      <c r="A19" s="79" t="s">
        <v>8</v>
      </c>
      <c r="B19" s="73">
        <v>0.15834386798488809</v>
      </c>
      <c r="C19" s="74">
        <v>81204.831525564121</v>
      </c>
      <c r="D19" s="75"/>
      <c r="E19" s="73">
        <v>0.15642660662116692</v>
      </c>
      <c r="F19" s="76">
        <v>78747.397748575473</v>
      </c>
      <c r="G19" s="77">
        <f>F19*G$15</f>
        <v>12482.865044740453</v>
      </c>
      <c r="H19" s="78">
        <f t="shared" ref="H19:H21" si="0">F19-G19</f>
        <v>66264.532703835022</v>
      </c>
      <c r="I19" s="75"/>
      <c r="J19" s="73">
        <v>0.15869661427187598</v>
      </c>
      <c r="K19" s="74">
        <v>97700.748578525483</v>
      </c>
      <c r="L19" s="77">
        <f>K19*L$15</f>
        <v>17036.321853766025</v>
      </c>
      <c r="M19" s="77">
        <f>K19-L19</f>
        <v>80664.426724759454</v>
      </c>
    </row>
    <row r="20" spans="1:13" customFormat="1" ht="16.5" customHeight="1" x14ac:dyDescent="0.25">
      <c r="A20" s="79" t="s">
        <v>9</v>
      </c>
      <c r="B20" s="73">
        <v>0.12851393228511804</v>
      </c>
      <c r="C20" s="74">
        <v>65906.892086889944</v>
      </c>
      <c r="D20" s="75"/>
      <c r="E20" s="73">
        <v>0.14617943331621075</v>
      </c>
      <c r="F20" s="76">
        <v>73588.823708813768</v>
      </c>
      <c r="G20" s="77">
        <f>F20*G$15</f>
        <v>11665.139184550848</v>
      </c>
      <c r="H20" s="78">
        <f t="shared" si="0"/>
        <v>61923.684524262921</v>
      </c>
      <c r="I20" s="75"/>
      <c r="J20" s="73">
        <v>0.13558055467746255</v>
      </c>
      <c r="K20" s="74">
        <v>83469.466223056603</v>
      </c>
      <c r="L20" s="77">
        <f>K20*L$15</f>
        <v>14554.777852035833</v>
      </c>
      <c r="M20" s="77">
        <f>K20-L20</f>
        <v>68914.688371020777</v>
      </c>
    </row>
    <row r="21" spans="1:13" customFormat="1" ht="16.5" customHeight="1" x14ac:dyDescent="0.25">
      <c r="A21" s="72" t="s">
        <v>10</v>
      </c>
      <c r="B21" s="73">
        <v>0.52530225249294438</v>
      </c>
      <c r="C21" s="80">
        <v>269395.21849851467</v>
      </c>
      <c r="D21" s="75"/>
      <c r="E21" s="73">
        <v>0.50967620368501565</v>
      </c>
      <c r="F21" s="76">
        <v>256578.31235685019</v>
      </c>
      <c r="G21" s="77">
        <f>F21*G$15</f>
        <v>40672.232202311236</v>
      </c>
      <c r="H21" s="78">
        <f t="shared" si="0"/>
        <v>215906.08015453897</v>
      </c>
      <c r="I21" s="81" t="s">
        <v>72</v>
      </c>
      <c r="J21" s="82">
        <v>0.39896527295984946</v>
      </c>
      <c r="K21" s="77">
        <v>245620.90378459255</v>
      </c>
      <c r="L21" s="77">
        <f>K21*L$15</f>
        <v>42829.526198809079</v>
      </c>
      <c r="M21" s="77">
        <f>K21-L21</f>
        <v>202791.37758578348</v>
      </c>
    </row>
    <row r="22" spans="1:13" customFormat="1" ht="16.5" customHeight="1" x14ac:dyDescent="0.25">
      <c r="A22" s="3" t="s">
        <v>73</v>
      </c>
      <c r="B22" s="83">
        <f>SUM(B18:B21)</f>
        <v>1</v>
      </c>
      <c r="C22" s="84">
        <f>SUM(C18:C21)</f>
        <v>512838.4986358555</v>
      </c>
      <c r="E22" s="83">
        <f>SUM(E18:E21)</f>
        <v>1</v>
      </c>
      <c r="F22" s="31">
        <f>SUM(F18:F21)</f>
        <v>503414.34522891289</v>
      </c>
      <c r="G22" s="77">
        <f>F22*G$15</f>
        <v>79800.139594994776</v>
      </c>
      <c r="H22" s="78">
        <f>SUM(H18:H21)</f>
        <v>423614.20563391811</v>
      </c>
      <c r="J22" s="83">
        <f>SUM(J18:J21)</f>
        <v>1</v>
      </c>
      <c r="K22" s="84">
        <f>SUM(K18:K21)</f>
        <v>615644.82031826116</v>
      </c>
      <c r="L22" s="85">
        <f>SUM(L18:L21)</f>
        <v>107351.51428359855</v>
      </c>
      <c r="M22" s="85">
        <f>SUM(M18:M21)</f>
        <v>508293.30603466264</v>
      </c>
    </row>
    <row r="23" spans="1:13" customFormat="1" ht="12.75" x14ac:dyDescent="0.2"/>
  </sheetData>
  <mergeCells count="3">
    <mergeCell ref="D3:G3"/>
    <mergeCell ref="I3:L3"/>
    <mergeCell ref="N3:Q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Y65"/>
  <sheetViews>
    <sheetView topLeftCell="J5" zoomScaleNormal="100" workbookViewId="0">
      <pane xSplit="1" ySplit="3" topLeftCell="K49" activePane="bottomRight" state="frozen"/>
      <selection activeCell="J7" sqref="J7"/>
      <selection pane="topRight" activeCell="K7" sqref="K7"/>
      <selection pane="bottomLeft" activeCell="J8" sqref="J8"/>
      <selection pane="bottomRight" activeCell="J67" sqref="J67"/>
    </sheetView>
  </sheetViews>
  <sheetFormatPr defaultRowHeight="12.75" x14ac:dyDescent="0.2"/>
  <cols>
    <col min="1" max="1" width="16.42578125" hidden="1" customWidth="1"/>
    <col min="2" max="2" width="22.5703125" hidden="1" customWidth="1"/>
    <col min="3" max="3" width="7.28515625" hidden="1" customWidth="1"/>
    <col min="4" max="4" width="15.42578125" hidden="1" customWidth="1"/>
    <col min="5" max="5" width="16.42578125" style="6" hidden="1" customWidth="1"/>
    <col min="6" max="6" width="15.28515625" style="6" hidden="1" customWidth="1"/>
    <col min="7" max="7" width="10.140625" hidden="1" customWidth="1"/>
    <col min="8" max="9" width="0" hidden="1" customWidth="1"/>
    <col min="10" max="10" width="15.7109375" customWidth="1"/>
    <col min="11" max="11" width="16.28515625" customWidth="1"/>
    <col min="12" max="12" width="11.28515625" customWidth="1"/>
    <col min="13" max="13" width="10.5703125" customWidth="1"/>
    <col min="14" max="14" width="11.140625" customWidth="1"/>
    <col min="16" max="16" width="11.28515625" customWidth="1"/>
    <col min="17" max="19" width="10.5703125" customWidth="1"/>
    <col min="20" max="20" width="11" customWidth="1"/>
    <col min="22" max="22" width="14.42578125" customWidth="1"/>
    <col min="23" max="23" width="11.5703125" style="101" customWidth="1"/>
    <col min="24" max="24" width="14.140625" customWidth="1"/>
    <col min="25" max="25" width="17.42578125" bestFit="1" customWidth="1"/>
  </cols>
  <sheetData>
    <row r="1" spans="1:24" s="7" customFormat="1" ht="21" thickBot="1" x14ac:dyDescent="0.35">
      <c r="D1" s="20" t="s">
        <v>13</v>
      </c>
      <c r="J1" s="15" t="s">
        <v>39</v>
      </c>
      <c r="S1" s="194">
        <f ca="1">NOW()</f>
        <v>45157.674522685185</v>
      </c>
      <c r="T1" s="194"/>
      <c r="W1" s="100"/>
    </row>
    <row r="2" spans="1:24" s="7" customFormat="1" ht="15.75" x14ac:dyDescent="0.25">
      <c r="J2" s="7" t="s">
        <v>85</v>
      </c>
      <c r="N2" s="19"/>
      <c r="W2" s="100"/>
    </row>
    <row r="3" spans="1:24" s="7" customFormat="1" ht="15.75" x14ac:dyDescent="0.25">
      <c r="W3" s="100"/>
    </row>
    <row r="4" spans="1:24" s="7" customFormat="1" ht="15.75" x14ac:dyDescent="0.25">
      <c r="D4" s="41" t="s">
        <v>48</v>
      </c>
      <c r="F4" s="40"/>
      <c r="J4" s="7" t="s">
        <v>68</v>
      </c>
      <c r="W4" s="100"/>
    </row>
    <row r="5" spans="1:24" s="7" customFormat="1" ht="16.5" thickBot="1" x14ac:dyDescent="0.3">
      <c r="E5" s="40" t="s">
        <v>49</v>
      </c>
      <c r="J5" s="7" t="s">
        <v>88</v>
      </c>
      <c r="W5" s="100"/>
    </row>
    <row r="6" spans="1:24" ht="13.5" thickBot="1" x14ac:dyDescent="0.25">
      <c r="A6" t="str">
        <f>D13</f>
        <v xml:space="preserve">Adult Adm </v>
      </c>
      <c r="D6" s="22" t="str">
        <f>D13</f>
        <v xml:space="preserve">Adult Adm </v>
      </c>
      <c r="K6" s="53">
        <f>483473*0.1</f>
        <v>48347.3</v>
      </c>
    </row>
    <row r="7" spans="1:24" ht="39" customHeight="1" thickBot="1" x14ac:dyDescent="0.3">
      <c r="A7" s="1" t="s">
        <v>0</v>
      </c>
      <c r="B7" s="1" t="s">
        <v>1</v>
      </c>
      <c r="C7" s="1" t="s">
        <v>2</v>
      </c>
      <c r="D7" s="1" t="s">
        <v>3</v>
      </c>
      <c r="E7" s="4" t="s">
        <v>12</v>
      </c>
      <c r="F7" s="27" t="s">
        <v>22</v>
      </c>
      <c r="J7" s="18" t="s">
        <v>3</v>
      </c>
      <c r="K7" s="54" t="s">
        <v>19</v>
      </c>
      <c r="L7" s="43" t="s">
        <v>40</v>
      </c>
      <c r="M7" s="24" t="s">
        <v>24</v>
      </c>
      <c r="N7" s="24" t="s">
        <v>23</v>
      </c>
      <c r="P7" s="43" t="s">
        <v>38</v>
      </c>
      <c r="Q7" s="43" t="s">
        <v>37</v>
      </c>
      <c r="R7" s="42" t="s">
        <v>31</v>
      </c>
      <c r="S7" s="42" t="s">
        <v>34</v>
      </c>
      <c r="T7" s="42" t="s">
        <v>35</v>
      </c>
      <c r="V7" s="37" t="s">
        <v>49</v>
      </c>
      <c r="W7" s="102" t="s">
        <v>89</v>
      </c>
      <c r="X7" s="35" t="s">
        <v>87</v>
      </c>
    </row>
    <row r="8" spans="1:24" ht="12.75" customHeight="1" x14ac:dyDescent="0.2">
      <c r="A8" s="2" t="s">
        <v>5</v>
      </c>
      <c r="B8" s="2" t="s">
        <v>6</v>
      </c>
      <c r="C8" s="2">
        <v>56</v>
      </c>
      <c r="D8" s="2" t="s">
        <v>7</v>
      </c>
      <c r="E8" s="5">
        <f>'Sara Ballard eml 6-5-18'!G5*0.04</f>
        <v>3779.9924565869383</v>
      </c>
      <c r="F8" s="17">
        <f t="shared" ref="F8:F13" si="0">E8/E$13</f>
        <v>7.5087102551042673E-2</v>
      </c>
      <c r="J8" s="2" t="s">
        <v>7</v>
      </c>
      <c r="K8" s="55">
        <f>'Sara Ballard eml 6-5-18'!G5*0.04</f>
        <v>3779.9924565869383</v>
      </c>
      <c r="L8" s="45">
        <v>4096.2880000000005</v>
      </c>
      <c r="M8" s="8">
        <f t="shared" ref="M8:M13" si="1">K8-L8</f>
        <v>-316.29554341306221</v>
      </c>
      <c r="N8" s="9">
        <f t="shared" ref="N8:N13" si="2">-1+(K8/L8)</f>
        <v>-7.7215162462468956E-2</v>
      </c>
      <c r="P8" s="45">
        <v>2727.15</v>
      </c>
      <c r="Q8" s="45">
        <v>2179.92</v>
      </c>
      <c r="R8" s="8">
        <v>1475.6759999999999</v>
      </c>
      <c r="S8" s="8">
        <v>1290.7760000000001</v>
      </c>
      <c r="T8" s="25">
        <v>1695</v>
      </c>
      <c r="V8" s="6">
        <f>K8-E8</f>
        <v>0</v>
      </c>
      <c r="W8" s="103">
        <f>K8-V8-0.43</f>
        <v>3779.5624565869384</v>
      </c>
      <c r="X8" s="6">
        <f>V8+W8</f>
        <v>3779.5624565869384</v>
      </c>
    </row>
    <row r="9" spans="1:24" ht="12.75" customHeight="1" x14ac:dyDescent="0.2">
      <c r="A9" s="2" t="s">
        <v>5</v>
      </c>
      <c r="B9" s="2" t="s">
        <v>6</v>
      </c>
      <c r="C9" s="2">
        <v>58</v>
      </c>
      <c r="D9" s="2" t="s">
        <v>8</v>
      </c>
      <c r="E9" s="5">
        <f>'Sara Ballard eml 6-5-18'!G6*0.04</f>
        <v>3149.895909943019</v>
      </c>
      <c r="F9" s="17">
        <f t="shared" si="0"/>
        <v>6.2570642648466776E-2</v>
      </c>
      <c r="J9" s="2" t="s">
        <v>8</v>
      </c>
      <c r="K9" s="55">
        <f>'Sara Ballard eml 6-5-18'!G6*0.04</f>
        <v>3149.895909943019</v>
      </c>
      <c r="L9" s="45">
        <v>3044.8360000000002</v>
      </c>
      <c r="M9" s="8">
        <f t="shared" si="1"/>
        <v>105.05990994301874</v>
      </c>
      <c r="N9" s="9">
        <f t="shared" si="2"/>
        <v>3.4504291838055812E-2</v>
      </c>
      <c r="P9" s="45">
        <v>2041.86</v>
      </c>
      <c r="Q9" s="45">
        <v>1930.124</v>
      </c>
      <c r="R9" s="8">
        <v>1748.856</v>
      </c>
      <c r="S9" s="8">
        <v>1662.6520000000003</v>
      </c>
      <c r="T9" s="25">
        <v>1972</v>
      </c>
      <c r="V9" s="6">
        <f t="shared" ref="V9:V11" si="3">K9-E9</f>
        <v>0</v>
      </c>
      <c r="W9" s="103">
        <f t="shared" ref="W9:W12" si="4">K9-V9</f>
        <v>3149.895909943019</v>
      </c>
      <c r="X9" s="6">
        <f t="shared" ref="X9:X12" si="5">V9+W9</f>
        <v>3149.895909943019</v>
      </c>
    </row>
    <row r="10" spans="1:24" ht="12.75" customHeight="1" x14ac:dyDescent="0.2">
      <c r="A10" s="2" t="s">
        <v>5</v>
      </c>
      <c r="B10" s="2" t="s">
        <v>6</v>
      </c>
      <c r="C10" s="2">
        <v>61</v>
      </c>
      <c r="D10" s="2" t="s">
        <v>9</v>
      </c>
      <c r="E10" s="5">
        <f>'Sara Ballard eml 6-5-18'!G7*0.04</f>
        <v>2943.5529483525506</v>
      </c>
      <c r="F10" s="17">
        <f t="shared" si="0"/>
        <v>5.8471773326484303E-2</v>
      </c>
      <c r="J10" s="2" t="s">
        <v>9</v>
      </c>
      <c r="K10" s="55">
        <f>'Sara Ballard eml 6-5-18'!G7*0.04</f>
        <v>2943.5529483525506</v>
      </c>
      <c r="L10" s="45">
        <v>2774.6560000000004</v>
      </c>
      <c r="M10" s="8">
        <f t="shared" si="1"/>
        <v>168.89694835255023</v>
      </c>
      <c r="N10" s="9">
        <f t="shared" si="2"/>
        <v>6.0871311021096108E-2</v>
      </c>
      <c r="P10" s="45">
        <v>1894.69</v>
      </c>
      <c r="Q10" s="45">
        <v>1853.5120000000002</v>
      </c>
      <c r="R10" s="8">
        <v>1825.048</v>
      </c>
      <c r="S10" s="8">
        <v>1863.7840000000001</v>
      </c>
      <c r="T10" s="25">
        <v>1893</v>
      </c>
      <c r="V10" s="6">
        <f t="shared" si="3"/>
        <v>0</v>
      </c>
      <c r="W10" s="103">
        <f t="shared" si="4"/>
        <v>2943.5529483525506</v>
      </c>
      <c r="X10" s="6">
        <f t="shared" si="5"/>
        <v>2943.5529483525506</v>
      </c>
    </row>
    <row r="11" spans="1:24" ht="12.75" customHeight="1" x14ac:dyDescent="0.2">
      <c r="A11" s="2" t="s">
        <v>5</v>
      </c>
      <c r="B11" s="2" t="s">
        <v>6</v>
      </c>
      <c r="C11" s="2">
        <v>84</v>
      </c>
      <c r="D11" s="2" t="s">
        <v>10</v>
      </c>
      <c r="E11" s="5">
        <f>'Sara Ballard eml 6-5-18'!G8*0.04</f>
        <v>10263.132494274008</v>
      </c>
      <c r="F11" s="17">
        <f t="shared" si="0"/>
        <v>0.2038704814740063</v>
      </c>
      <c r="J11" s="2" t="s">
        <v>10</v>
      </c>
      <c r="K11" s="55">
        <f>'Sara Ballard eml 6-5-18'!G8*0.04</f>
        <v>10263.132494274008</v>
      </c>
      <c r="L11" s="45">
        <v>8599.6200000000008</v>
      </c>
      <c r="M11" s="8">
        <f t="shared" si="1"/>
        <v>1663.5124942740076</v>
      </c>
      <c r="N11" s="9">
        <f t="shared" si="2"/>
        <v>0.1934402327398197</v>
      </c>
      <c r="P11" s="45">
        <v>5306.02</v>
      </c>
      <c r="Q11" s="45">
        <v>4768.4340000000002</v>
      </c>
      <c r="R11" s="8">
        <v>4603.01</v>
      </c>
      <c r="S11" s="8">
        <v>4897.1880000000001</v>
      </c>
      <c r="T11" s="25">
        <v>5732</v>
      </c>
      <c r="V11" s="6">
        <f t="shared" si="3"/>
        <v>0</v>
      </c>
      <c r="W11" s="103">
        <f t="shared" si="4"/>
        <v>10263.132494274008</v>
      </c>
      <c r="X11" s="6">
        <f t="shared" si="5"/>
        <v>10263.132494274008</v>
      </c>
    </row>
    <row r="12" spans="1:24" ht="12.75" customHeight="1" thickBot="1" x14ac:dyDescent="0.25">
      <c r="A12" s="3"/>
      <c r="B12" s="3"/>
      <c r="C12" s="3"/>
      <c r="D12" s="2" t="s">
        <v>11</v>
      </c>
      <c r="E12" s="12">
        <f>'Sara Ballard eml 6-5-18'!G9*0.06</f>
        <v>30204.860713734772</v>
      </c>
      <c r="F12" s="17">
        <f t="shared" si="0"/>
        <v>0.6</v>
      </c>
      <c r="J12" s="2" t="s">
        <v>11</v>
      </c>
      <c r="K12" s="55">
        <f>'Sara Ballard eml 6-5-18'!G9*0.06</f>
        <v>30204.860713734772</v>
      </c>
      <c r="L12" s="45">
        <v>27773.599999999999</v>
      </c>
      <c r="M12" s="8">
        <f t="shared" si="1"/>
        <v>2431.2607137347732</v>
      </c>
      <c r="N12" s="9">
        <f t="shared" si="2"/>
        <v>8.7538551492596373E-2</v>
      </c>
      <c r="P12" s="45">
        <v>17954.28</v>
      </c>
      <c r="Q12" s="45">
        <v>16098</v>
      </c>
      <c r="R12" s="8">
        <v>14480.4</v>
      </c>
      <c r="S12" s="8">
        <v>14571.6</v>
      </c>
      <c r="T12" s="25">
        <v>16938</v>
      </c>
      <c r="V12" s="6">
        <v>7980</v>
      </c>
      <c r="W12" s="103">
        <f t="shared" si="4"/>
        <v>22224.860713734772</v>
      </c>
      <c r="X12" s="6">
        <f t="shared" si="5"/>
        <v>30204.860713734772</v>
      </c>
    </row>
    <row r="13" spans="1:24" ht="12.75" customHeight="1" thickBot="1" x14ac:dyDescent="0.25">
      <c r="D13" s="21" t="s">
        <v>15</v>
      </c>
      <c r="E13" s="49">
        <f>SUM(E8:E12)</f>
        <v>50341.434522891286</v>
      </c>
      <c r="F13" s="48">
        <f t="shared" si="0"/>
        <v>1</v>
      </c>
      <c r="K13" s="56">
        <f>SUM(K8:K12)</f>
        <v>50341.434522891286</v>
      </c>
      <c r="L13" s="11">
        <f>SUM(L8:L12)</f>
        <v>46289</v>
      </c>
      <c r="M13" s="8">
        <f t="shared" si="1"/>
        <v>4052.4345228912862</v>
      </c>
      <c r="N13" s="9">
        <f t="shared" si="2"/>
        <v>8.7546383004413197E-2</v>
      </c>
      <c r="P13" s="45">
        <f>SUM(P8:P12)</f>
        <v>29924</v>
      </c>
      <c r="Q13" s="45">
        <f>SUM(Q8:Q12)</f>
        <v>26829.99</v>
      </c>
      <c r="R13" s="11">
        <f>SUM(R8:R12)</f>
        <v>24132.989999999998</v>
      </c>
      <c r="S13" s="11">
        <f>SUM(S8:S12)</f>
        <v>24286</v>
      </c>
      <c r="T13" s="26">
        <f>SUM(T8:T12)</f>
        <v>28230</v>
      </c>
      <c r="V13" s="34">
        <f t="shared" ref="V13:W13" si="6">SUM(V8:V12)</f>
        <v>7980</v>
      </c>
      <c r="W13" s="104">
        <f t="shared" si="6"/>
        <v>42361.004522891286</v>
      </c>
      <c r="X13" s="34">
        <f>SUM(X8:X12)</f>
        <v>50341.004522891286</v>
      </c>
    </row>
    <row r="14" spans="1:24" ht="12.75" customHeight="1" x14ac:dyDescent="0.2">
      <c r="D14" s="3"/>
      <c r="K14" s="32"/>
      <c r="M14" s="13"/>
      <c r="N14" s="14"/>
      <c r="R14" s="13"/>
      <c r="S14" s="13"/>
      <c r="W14" s="105">
        <f>W11+W12</f>
        <v>32487.993208008782</v>
      </c>
    </row>
    <row r="15" spans="1:24" ht="17.25" customHeight="1" thickBot="1" x14ac:dyDescent="0.3">
      <c r="D15" s="3"/>
      <c r="J15" s="7" t="s">
        <v>16</v>
      </c>
      <c r="K15" s="32"/>
      <c r="V15" s="96">
        <v>71820</v>
      </c>
    </row>
    <row r="16" spans="1:24" ht="12.75" hidden="1" customHeight="1" thickBot="1" x14ac:dyDescent="0.25">
      <c r="D16" s="22" t="str">
        <f>D22</f>
        <v xml:space="preserve">Adult </v>
      </c>
      <c r="K16" s="53">
        <f>483473*0.9</f>
        <v>435125.7</v>
      </c>
    </row>
    <row r="17" spans="1:24" ht="42" customHeight="1" thickBot="1" x14ac:dyDescent="0.3">
      <c r="A17" s="1" t="s">
        <v>0</v>
      </c>
      <c r="B17" s="1" t="s">
        <v>1</v>
      </c>
      <c r="C17" s="1" t="s">
        <v>2</v>
      </c>
      <c r="D17" s="1" t="s">
        <v>3</v>
      </c>
      <c r="E17" s="4" t="s">
        <v>12</v>
      </c>
      <c r="F17" s="27" t="s">
        <v>22</v>
      </c>
      <c r="J17" s="18" t="s">
        <v>3</v>
      </c>
      <c r="K17" s="54" t="s">
        <v>19</v>
      </c>
      <c r="L17" s="43" t="str">
        <f>L7</f>
        <v>PY17 &amp; FY18 Actual</v>
      </c>
      <c r="M17" s="24" t="s">
        <v>24</v>
      </c>
      <c r="N17" s="24" t="s">
        <v>23</v>
      </c>
      <c r="P17" s="43" t="s">
        <v>38</v>
      </c>
      <c r="Q17" s="43" t="s">
        <v>37</v>
      </c>
      <c r="R17" s="42" t="s">
        <v>31</v>
      </c>
      <c r="S17" s="42" t="s">
        <v>34</v>
      </c>
      <c r="T17" s="42" t="s">
        <v>35</v>
      </c>
      <c r="V17" s="37" t="str">
        <f>V7</f>
        <v>PY18</v>
      </c>
      <c r="W17" s="102" t="str">
        <f>W7</f>
        <v>FY19 Actual</v>
      </c>
      <c r="X17" s="35" t="s">
        <v>87</v>
      </c>
    </row>
    <row r="18" spans="1:24" ht="12.75" customHeight="1" x14ac:dyDescent="0.2">
      <c r="A18" s="2" t="s">
        <v>5</v>
      </c>
      <c r="B18" s="2" t="s">
        <v>6</v>
      </c>
      <c r="C18" s="2">
        <v>56</v>
      </c>
      <c r="D18" s="2" t="s">
        <v>7</v>
      </c>
      <c r="E18" s="5">
        <f>'Sara Ballard eml 6-5-18'!G5*0.9</f>
        <v>85049.830273206113</v>
      </c>
      <c r="F18" s="17">
        <f>E18/E$22</f>
        <v>0.67305608344458423</v>
      </c>
      <c r="J18" s="2" t="s">
        <v>7</v>
      </c>
      <c r="K18" s="55">
        <f>'Sara Ballard eml 6-5-18'!G5*0.9</f>
        <v>85049.830273206113</v>
      </c>
      <c r="L18" s="45">
        <v>92168.79</v>
      </c>
      <c r="M18" s="8">
        <f>K18-L18</f>
        <v>-7118.9597267938807</v>
      </c>
      <c r="N18" s="9">
        <f>-1+(K18/L18)</f>
        <v>-7.7238289954700279E-2</v>
      </c>
      <c r="O18">
        <f>K18+K8+(K8*1.5)</f>
        <v>94499.811414673459</v>
      </c>
      <c r="P18" s="45">
        <v>61354.85</v>
      </c>
      <c r="Q18" s="45">
        <v>49052.160000000003</v>
      </c>
      <c r="R18" s="8">
        <v>33207.19</v>
      </c>
      <c r="S18" s="8">
        <v>29032.03</v>
      </c>
      <c r="T18" s="25">
        <v>38132</v>
      </c>
      <c r="V18" s="6">
        <f>(K18/K$22)*V$15</f>
        <v>13481.889263039711</v>
      </c>
      <c r="W18" s="103">
        <f t="shared" ref="W18:W20" si="7">K18-V18</f>
        <v>71567.941010166396</v>
      </c>
      <c r="X18" s="6">
        <f>V18+W18</f>
        <v>85049.830273206113</v>
      </c>
    </row>
    <row r="19" spans="1:24" ht="12.75" customHeight="1" x14ac:dyDescent="0.2">
      <c r="A19" s="2" t="s">
        <v>5</v>
      </c>
      <c r="B19" s="2" t="s">
        <v>6</v>
      </c>
      <c r="C19" s="2">
        <v>58</v>
      </c>
      <c r="D19" s="2" t="s">
        <v>8</v>
      </c>
      <c r="E19" s="5">
        <v>8724.1299999999992</v>
      </c>
      <c r="F19" s="17">
        <f>E19/E$22</f>
        <v>6.9039864634641679E-2</v>
      </c>
      <c r="J19" s="2" t="s">
        <v>8</v>
      </c>
      <c r="K19" s="55">
        <f>'Sara Ballard eml 6-5-18'!G6*0.9</f>
        <v>70872.657973717927</v>
      </c>
      <c r="L19" s="45">
        <v>68509.820000000007</v>
      </c>
      <c r="M19" s="8">
        <f>K19-L19</f>
        <v>2362.8379737179202</v>
      </c>
      <c r="N19" s="9">
        <f>-1+(K19/L19)</f>
        <v>3.4489040749456246E-2</v>
      </c>
      <c r="O19">
        <f t="shared" ref="O19:O21" si="8">K19+K9+(K9*1.5)</f>
        <v>78747.397748575473</v>
      </c>
      <c r="P19" s="45">
        <v>45941.429999999993</v>
      </c>
      <c r="Q19" s="45">
        <v>43418.810000000005</v>
      </c>
      <c r="R19" s="8">
        <v>39345.279999999999</v>
      </c>
      <c r="S19" s="8">
        <v>37399.170000000006</v>
      </c>
      <c r="T19" s="25">
        <v>44379</v>
      </c>
      <c r="V19" s="6">
        <f t="shared" ref="V19:V21" si="9">(K19/K$22)*V$15</f>
        <v>11234.558887532208</v>
      </c>
      <c r="W19" s="103">
        <f t="shared" si="7"/>
        <v>59638.099086185721</v>
      </c>
      <c r="X19" s="6">
        <f t="shared" ref="X19:X21" si="10">V19+W19</f>
        <v>70872.657973717927</v>
      </c>
    </row>
    <row r="20" spans="1:24" ht="12.75" customHeight="1" x14ac:dyDescent="0.2">
      <c r="A20" s="2" t="s">
        <v>5</v>
      </c>
      <c r="B20" s="2" t="s">
        <v>6</v>
      </c>
      <c r="C20" s="2">
        <v>61</v>
      </c>
      <c r="D20" s="2" t="s">
        <v>9</v>
      </c>
      <c r="E20" s="5">
        <v>7949.48</v>
      </c>
      <c r="F20" s="17">
        <f>E20/E$22</f>
        <v>6.2909542053567677E-2</v>
      </c>
      <c r="J20" s="2" t="s">
        <v>9</v>
      </c>
      <c r="K20" s="55">
        <f>'Sara Ballard eml 6-5-18'!G7*0.9</f>
        <v>66229.941337932396</v>
      </c>
      <c r="L20" s="45">
        <v>62430.770000000004</v>
      </c>
      <c r="M20" s="8">
        <f>K20-L20</f>
        <v>3799.1713379323919</v>
      </c>
      <c r="N20" s="9">
        <f>-1+(K20/L20)</f>
        <v>6.0854148329940294E-2</v>
      </c>
      <c r="O20">
        <f t="shared" si="8"/>
        <v>73588.823708813768</v>
      </c>
      <c r="P20" s="45">
        <v>42630.28</v>
      </c>
      <c r="Q20" s="45">
        <v>41701.97</v>
      </c>
      <c r="R20" s="8">
        <v>41075.050000000003</v>
      </c>
      <c r="S20" s="8">
        <v>41938.61</v>
      </c>
      <c r="T20" s="25">
        <v>42591</v>
      </c>
      <c r="V20" s="6">
        <f t="shared" si="9"/>
        <v>10498.606900770255</v>
      </c>
      <c r="W20" s="103">
        <f t="shared" si="7"/>
        <v>55731.334437162142</v>
      </c>
      <c r="X20" s="6">
        <f t="shared" si="10"/>
        <v>66229.941337932396</v>
      </c>
    </row>
    <row r="21" spans="1:24" ht="12.75" customHeight="1" thickBot="1" x14ac:dyDescent="0.25">
      <c r="A21" s="2" t="s">
        <v>5</v>
      </c>
      <c r="B21" s="2" t="s">
        <v>6</v>
      </c>
      <c r="C21" s="2">
        <v>84</v>
      </c>
      <c r="D21" s="2" t="s">
        <v>10</v>
      </c>
      <c r="E21" s="5">
        <v>24640.22</v>
      </c>
      <c r="F21" s="17">
        <f>E21/E$22</f>
        <v>0.19499450986720634</v>
      </c>
      <c r="J21" s="2" t="s">
        <v>10</v>
      </c>
      <c r="K21" s="55">
        <f>'Sara Ballard eml 6-5-18'!G8*0.9</f>
        <v>230920.48112116518</v>
      </c>
      <c r="L21" s="45">
        <v>193496.62</v>
      </c>
      <c r="M21" s="8">
        <f>K21-L21</f>
        <v>37423.861121165188</v>
      </c>
      <c r="N21" s="9">
        <f>-1+(K21/L21)</f>
        <v>0.19340834543345098</v>
      </c>
      <c r="O21">
        <f t="shared" si="8"/>
        <v>256578.31235685019</v>
      </c>
      <c r="P21" s="45">
        <v>119387.44</v>
      </c>
      <c r="Q21" s="45">
        <v>107288.06</v>
      </c>
      <c r="R21" s="8">
        <v>103558.48000000001</v>
      </c>
      <c r="S21" s="8">
        <v>110187.19</v>
      </c>
      <c r="T21" s="25">
        <v>128963</v>
      </c>
      <c r="V21" s="6">
        <f t="shared" si="9"/>
        <v>36604.944948657823</v>
      </c>
      <c r="W21" s="103">
        <f>K21-V21+0.09</f>
        <v>194315.62617250736</v>
      </c>
      <c r="X21" s="6">
        <f t="shared" si="10"/>
        <v>230920.57112116518</v>
      </c>
    </row>
    <row r="22" spans="1:24" ht="12.75" customHeight="1" thickBot="1" x14ac:dyDescent="0.25">
      <c r="D22" s="21" t="s">
        <v>16</v>
      </c>
      <c r="E22" s="16">
        <f>SUM(E18:E21)</f>
        <v>126363.66027320611</v>
      </c>
      <c r="F22" s="17">
        <f>E22/E$22</f>
        <v>1</v>
      </c>
      <c r="K22" s="56">
        <f>SUM(K18:K21)</f>
        <v>453072.91070602159</v>
      </c>
      <c r="L22" s="45">
        <f>SUM(L18:L21)</f>
        <v>416606</v>
      </c>
      <c r="M22" s="8">
        <f>K22-L22</f>
        <v>36466.91070602159</v>
      </c>
      <c r="N22" s="9">
        <f>-1+(K22/L22)</f>
        <v>8.7533330547379551E-2</v>
      </c>
      <c r="P22" s="45">
        <f>SUM(P18:P21)</f>
        <v>269314</v>
      </c>
      <c r="Q22" s="45">
        <f>SUM(Q18:Q21)</f>
        <v>241461</v>
      </c>
      <c r="R22" s="11">
        <f>SUM(R18:R21)</f>
        <v>217186</v>
      </c>
      <c r="S22" s="11">
        <f>SUM(S18:S21)</f>
        <v>218557</v>
      </c>
      <c r="T22" s="26">
        <f>SUM(T18:T21)</f>
        <v>254065</v>
      </c>
      <c r="V22" s="58">
        <f>SUM(V18:V21)</f>
        <v>71820</v>
      </c>
      <c r="W22" s="106">
        <f>SUM(W18:W21)</f>
        <v>381253.00070602162</v>
      </c>
      <c r="X22" s="58">
        <f>SUM(X18:X21)</f>
        <v>453073.00070602162</v>
      </c>
    </row>
    <row r="23" spans="1:24" ht="12.75" customHeight="1" x14ac:dyDescent="0.2">
      <c r="D23" s="3"/>
      <c r="E23" s="6">
        <f>+E22+E13</f>
        <v>176705.0947960974</v>
      </c>
      <c r="K23" s="32">
        <f>+K22+K13</f>
        <v>503414.34522891289</v>
      </c>
      <c r="L23" s="13"/>
      <c r="M23" s="13"/>
      <c r="N23" s="14"/>
      <c r="P23" s="13"/>
      <c r="Q23" s="13">
        <f>Q22+Q13</f>
        <v>268290.99</v>
      </c>
      <c r="R23" s="13"/>
      <c r="S23" s="13"/>
      <c r="V23" s="6">
        <f t="shared" ref="V23" si="11">K23-E23</f>
        <v>326709.25043281552</v>
      </c>
    </row>
    <row r="24" spans="1:24" ht="12.75" customHeight="1" thickBot="1" x14ac:dyDescent="0.25">
      <c r="K24" s="32"/>
      <c r="Q24" s="32"/>
    </row>
    <row r="25" spans="1:24" ht="18.75" customHeight="1" thickBot="1" x14ac:dyDescent="0.3">
      <c r="D25" s="22" t="str">
        <f>D32</f>
        <v xml:space="preserve">DW Adm </v>
      </c>
      <c r="J25" s="7" t="s">
        <v>69</v>
      </c>
      <c r="K25" s="56">
        <f>601187*0.1</f>
        <v>60118.700000000004</v>
      </c>
      <c r="Q25" s="32"/>
    </row>
    <row r="26" spans="1:24" ht="40.5" customHeight="1" thickBot="1" x14ac:dyDescent="0.3">
      <c r="A26" s="1" t="s">
        <v>0</v>
      </c>
      <c r="B26" s="1" t="s">
        <v>1</v>
      </c>
      <c r="C26" s="1" t="s">
        <v>2</v>
      </c>
      <c r="D26" s="1" t="s">
        <v>3</v>
      </c>
      <c r="E26" s="4" t="s">
        <v>12</v>
      </c>
      <c r="F26" s="27" t="s">
        <v>22</v>
      </c>
      <c r="J26" s="18" t="s">
        <v>3</v>
      </c>
      <c r="K26" s="54" t="s">
        <v>19</v>
      </c>
      <c r="L26" s="43" t="str">
        <f>L7</f>
        <v>PY17 &amp; FY18 Actual</v>
      </c>
      <c r="M26" s="24" t="s">
        <v>24</v>
      </c>
      <c r="N26" s="24" t="s">
        <v>23</v>
      </c>
      <c r="P26" s="43" t="s">
        <v>38</v>
      </c>
      <c r="Q26" s="47" t="s">
        <v>37</v>
      </c>
      <c r="R26" s="42" t="s">
        <v>31</v>
      </c>
      <c r="S26" s="42" t="s">
        <v>34</v>
      </c>
      <c r="T26" s="42" t="s">
        <v>35</v>
      </c>
      <c r="V26" s="37" t="str">
        <f>V7</f>
        <v>PY18</v>
      </c>
      <c r="W26" s="102" t="str">
        <f>W7</f>
        <v>FY19 Actual</v>
      </c>
      <c r="X26" s="35" t="s">
        <v>87</v>
      </c>
    </row>
    <row r="27" spans="1:24" ht="12.75" customHeight="1" x14ac:dyDescent="0.2">
      <c r="A27" s="2" t="s">
        <v>5</v>
      </c>
      <c r="B27" s="2" t="s">
        <v>6</v>
      </c>
      <c r="C27" s="2">
        <v>56</v>
      </c>
      <c r="D27" s="2" t="s">
        <v>7</v>
      </c>
      <c r="E27" s="5">
        <f>34063*0.04</f>
        <v>1362.52</v>
      </c>
      <c r="F27" s="17">
        <f t="shared" ref="F27:F32" si="12">E27/E$32</f>
        <v>0.14946467749012723</v>
      </c>
      <c r="J27" s="2" t="s">
        <v>7</v>
      </c>
      <c r="K27" s="55">
        <f>'Sara Ballard eml 6-5-18'!Q5*0.04</f>
        <v>7554.1480692834621</v>
      </c>
      <c r="L27" s="45">
        <v>8622.4279999999999</v>
      </c>
      <c r="M27" s="8">
        <f t="shared" ref="M27:M32" si="13">K27-L27</f>
        <v>-1068.2799307165378</v>
      </c>
      <c r="N27" s="9">
        <f t="shared" ref="N27:N32" si="14">-1+(K27/L27)</f>
        <v>-0.12389548868561595</v>
      </c>
      <c r="P27" s="45">
        <v>6979.96</v>
      </c>
      <c r="Q27" s="31">
        <v>6776.4679999999998</v>
      </c>
      <c r="R27" s="8">
        <v>5304.4</v>
      </c>
      <c r="S27" s="8">
        <v>4807.5999999999995</v>
      </c>
      <c r="T27" s="25">
        <v>1270</v>
      </c>
      <c r="V27" s="6"/>
      <c r="W27" s="103">
        <f>K27-V27-0.48</f>
        <v>7553.6680692834625</v>
      </c>
      <c r="X27" s="6">
        <f>V27+W27</f>
        <v>7553.6680692834625</v>
      </c>
    </row>
    <row r="28" spans="1:24" ht="12.75" customHeight="1" x14ac:dyDescent="0.2">
      <c r="A28" s="2" t="s">
        <v>5</v>
      </c>
      <c r="B28" s="2" t="s">
        <v>6</v>
      </c>
      <c r="C28" s="2">
        <v>58</v>
      </c>
      <c r="D28" s="2" t="s">
        <v>8</v>
      </c>
      <c r="E28" s="5">
        <f>14585*0.04</f>
        <v>583.4</v>
      </c>
      <c r="F28" s="17">
        <f t="shared" si="12"/>
        <v>6.399736726634489E-2</v>
      </c>
      <c r="J28" s="2" t="s">
        <v>8</v>
      </c>
      <c r="K28" s="55">
        <f>'Sara Ballard eml 6-5-18'!Q6*0.04</f>
        <v>3908.0299431410194</v>
      </c>
      <c r="L28" s="45">
        <v>3691.6480000000001</v>
      </c>
      <c r="M28" s="8">
        <f t="shared" si="13"/>
        <v>216.38194314101929</v>
      </c>
      <c r="N28" s="9">
        <f t="shared" si="14"/>
        <v>5.861391528689075E-2</v>
      </c>
      <c r="P28" s="45">
        <v>3044.95</v>
      </c>
      <c r="Q28" s="31">
        <v>2736.0960000000005</v>
      </c>
      <c r="R28" s="8">
        <v>2617.1999999999998</v>
      </c>
      <c r="S28" s="8">
        <v>1628.8</v>
      </c>
      <c r="T28" s="25">
        <v>1837</v>
      </c>
      <c r="V28" s="6"/>
      <c r="W28" s="103">
        <f t="shared" ref="W28:W29" si="15">K28-V28</f>
        <v>3908.0299431410194</v>
      </c>
      <c r="X28" s="6">
        <f t="shared" ref="X28:X31" si="16">V28+W28</f>
        <v>3908.0299431410194</v>
      </c>
    </row>
    <row r="29" spans="1:24" ht="12.75" customHeight="1" x14ac:dyDescent="0.2">
      <c r="A29" s="2" t="s">
        <v>5</v>
      </c>
      <c r="B29" s="2" t="s">
        <v>6</v>
      </c>
      <c r="C29" s="2">
        <v>61</v>
      </c>
      <c r="D29" s="2" t="s">
        <v>9</v>
      </c>
      <c r="E29" s="5">
        <f>12074*0.04</f>
        <v>482.96000000000004</v>
      </c>
      <c r="F29" s="17">
        <f t="shared" si="12"/>
        <v>5.2979376919701629E-2</v>
      </c>
      <c r="J29" s="2" t="s">
        <v>9</v>
      </c>
      <c r="K29" s="55">
        <f>'Sara Ballard eml 6-5-18'!Q7*0.04</f>
        <v>3338.778648922264</v>
      </c>
      <c r="L29" s="45">
        <v>3056.2640000000001</v>
      </c>
      <c r="M29" s="8">
        <f t="shared" si="13"/>
        <v>282.51464892226386</v>
      </c>
      <c r="N29" s="9">
        <f t="shared" si="14"/>
        <v>9.2437907498260641E-2</v>
      </c>
      <c r="P29" s="45">
        <v>2332.54</v>
      </c>
      <c r="Q29" s="31">
        <v>2299.6760000000004</v>
      </c>
      <c r="R29" s="8">
        <v>2155.6</v>
      </c>
      <c r="S29" s="8">
        <v>1252.4000000000001</v>
      </c>
      <c r="T29" s="25">
        <v>1452</v>
      </c>
      <c r="V29" s="6"/>
      <c r="W29" s="103">
        <f t="shared" si="15"/>
        <v>3338.778648922264</v>
      </c>
      <c r="X29" s="6">
        <f t="shared" si="16"/>
        <v>3338.778648922264</v>
      </c>
    </row>
    <row r="30" spans="1:24" ht="12.75" customHeight="1" x14ac:dyDescent="0.2">
      <c r="A30" s="2" t="s">
        <v>5</v>
      </c>
      <c r="B30" s="2" t="s">
        <v>6</v>
      </c>
      <c r="C30" s="2">
        <v>84</v>
      </c>
      <c r="D30" s="2" t="s">
        <v>10</v>
      </c>
      <c r="E30" s="5">
        <f>30429*0.04</f>
        <v>1217.1600000000001</v>
      </c>
      <c r="F30" s="17">
        <f t="shared" si="12"/>
        <v>0.13351908731899956</v>
      </c>
      <c r="J30" s="2" t="s">
        <v>10</v>
      </c>
      <c r="K30" s="55">
        <f>'Sara Ballard eml 6-5-18'!Q8*0.04</f>
        <v>9824.8361513837026</v>
      </c>
      <c r="L30" s="45">
        <v>7702.5</v>
      </c>
      <c r="M30" s="8">
        <f t="shared" si="13"/>
        <v>2122.3361513837026</v>
      </c>
      <c r="N30" s="9">
        <f t="shared" si="14"/>
        <v>0.27553861102027954</v>
      </c>
      <c r="P30" s="45">
        <v>6123.6900000000005</v>
      </c>
      <c r="Q30" s="31">
        <v>5968.1600000000008</v>
      </c>
      <c r="R30" s="8">
        <v>4754</v>
      </c>
      <c r="S30" s="8">
        <v>2608</v>
      </c>
      <c r="T30" s="25">
        <v>4537</v>
      </c>
      <c r="V30" s="6"/>
      <c r="W30" s="103">
        <f>K30-V30-0.01</f>
        <v>9824.8261513837024</v>
      </c>
      <c r="X30" s="6">
        <f t="shared" si="16"/>
        <v>9824.8261513837024</v>
      </c>
    </row>
    <row r="31" spans="1:24" ht="12.75" customHeight="1" thickBot="1" x14ac:dyDescent="0.25">
      <c r="A31" s="3"/>
      <c r="B31" s="3"/>
      <c r="C31" s="3"/>
      <c r="D31" s="2" t="s">
        <v>11</v>
      </c>
      <c r="E31" s="5">
        <f>(91151*0.06)+0.9</f>
        <v>5469.9599999999991</v>
      </c>
      <c r="F31" s="17">
        <f t="shared" si="12"/>
        <v>0.60003949100482656</v>
      </c>
      <c r="J31" s="2" t="s">
        <v>11</v>
      </c>
      <c r="K31" s="55">
        <f>'Sara Ballard eml 6-5-18'!Q9*0.06</f>
        <v>36938.689219095671</v>
      </c>
      <c r="L31" s="45">
        <v>34610.160000000003</v>
      </c>
      <c r="M31" s="8">
        <f t="shared" si="13"/>
        <v>2328.5292190956679</v>
      </c>
      <c r="N31" s="9">
        <f t="shared" si="14"/>
        <v>6.7278776494984927E-2</v>
      </c>
      <c r="P31" s="45">
        <v>27718.86</v>
      </c>
      <c r="Q31" s="31">
        <v>26670.6</v>
      </c>
      <c r="R31" s="8">
        <v>22249.8</v>
      </c>
      <c r="S31" s="8">
        <v>15445.2</v>
      </c>
      <c r="T31" s="25">
        <v>13644</v>
      </c>
      <c r="V31" s="6">
        <v>10735</v>
      </c>
      <c r="W31" s="103">
        <f>K31-V31</f>
        <v>26203.689219095671</v>
      </c>
      <c r="X31" s="6">
        <f t="shared" si="16"/>
        <v>36938.689219095671</v>
      </c>
    </row>
    <row r="32" spans="1:24" ht="12.75" customHeight="1" thickBot="1" x14ac:dyDescent="0.25">
      <c r="D32" s="21" t="s">
        <v>17</v>
      </c>
      <c r="E32" s="16">
        <f>SUM(E27:E31)</f>
        <v>9116</v>
      </c>
      <c r="F32" s="17">
        <f t="shared" si="12"/>
        <v>1</v>
      </c>
      <c r="K32" s="56">
        <f>SUM(K27:K31)</f>
        <v>61564.482031826119</v>
      </c>
      <c r="L32" s="45">
        <f>SUM(L27:L31)</f>
        <v>57683</v>
      </c>
      <c r="M32" s="8">
        <f t="shared" si="13"/>
        <v>3881.4820318261191</v>
      </c>
      <c r="N32" s="9">
        <f t="shared" si="14"/>
        <v>6.7289877985301061E-2</v>
      </c>
      <c r="P32" s="45">
        <f>SUM(P27:P31)</f>
        <v>46200</v>
      </c>
      <c r="Q32" s="31">
        <f>SUM(Q27:Q31)</f>
        <v>44451</v>
      </c>
      <c r="R32" s="11">
        <f>SUM(R27:R31)</f>
        <v>37081</v>
      </c>
      <c r="S32" s="11">
        <f>SUM(S27:S31)</f>
        <v>25742</v>
      </c>
      <c r="T32" s="26">
        <f>SUM(T27:T31)</f>
        <v>22740</v>
      </c>
      <c r="V32" s="34">
        <f t="shared" ref="V32" si="17">SUM(V27:V31)</f>
        <v>10735</v>
      </c>
      <c r="W32" s="104">
        <f>SUM(W27:W31)+0.01</f>
        <v>50829.002031826123</v>
      </c>
      <c r="X32" s="34">
        <f>SUM(X27:X31)</f>
        <v>61563.992031826121</v>
      </c>
    </row>
    <row r="33" spans="1:25" ht="12.75" customHeight="1" x14ac:dyDescent="0.2">
      <c r="D33" s="3"/>
      <c r="K33" s="32"/>
      <c r="M33" s="13"/>
      <c r="N33" s="14"/>
      <c r="Q33" s="32"/>
      <c r="R33" s="13"/>
      <c r="S33" s="13"/>
      <c r="W33" s="105">
        <f>W30+W31</f>
        <v>36028.515370479377</v>
      </c>
    </row>
    <row r="34" spans="1:25" ht="12.75" customHeight="1" thickBot="1" x14ac:dyDescent="0.25">
      <c r="D34" s="3"/>
      <c r="K34" s="32"/>
      <c r="M34" s="13"/>
      <c r="N34" s="14"/>
      <c r="Q34" s="32"/>
      <c r="R34" s="13"/>
      <c r="S34" s="13"/>
    </row>
    <row r="35" spans="1:25" ht="18" customHeight="1" thickBot="1" x14ac:dyDescent="0.3">
      <c r="D35" s="22" t="str">
        <f>D41</f>
        <v xml:space="preserve">DW </v>
      </c>
      <c r="J35" s="7" t="s">
        <v>18</v>
      </c>
      <c r="K35" s="56">
        <f>601187*0.9</f>
        <v>541068.30000000005</v>
      </c>
      <c r="Q35" s="32"/>
      <c r="V35" s="96">
        <v>96617</v>
      </c>
    </row>
    <row r="36" spans="1:25" ht="40.5" customHeight="1" thickBot="1" x14ac:dyDescent="0.3">
      <c r="A36" s="1" t="s">
        <v>0</v>
      </c>
      <c r="B36" s="1" t="s">
        <v>1</v>
      </c>
      <c r="C36" s="1" t="s">
        <v>2</v>
      </c>
      <c r="D36" s="1" t="s">
        <v>3</v>
      </c>
      <c r="E36" s="4" t="s">
        <v>12</v>
      </c>
      <c r="F36" s="27" t="s">
        <v>22</v>
      </c>
      <c r="J36" s="18" t="s">
        <v>3</v>
      </c>
      <c r="K36" s="54" t="s">
        <v>19</v>
      </c>
      <c r="L36" s="43" t="str">
        <f>L7</f>
        <v>PY17 &amp; FY18 Actual</v>
      </c>
      <c r="M36" s="24" t="s">
        <v>24</v>
      </c>
      <c r="N36" s="24" t="s">
        <v>23</v>
      </c>
      <c r="P36" s="43" t="s">
        <v>38</v>
      </c>
      <c r="Q36" s="47" t="s">
        <v>37</v>
      </c>
      <c r="R36" s="42" t="s">
        <v>31</v>
      </c>
      <c r="S36" s="42" t="s">
        <v>34</v>
      </c>
      <c r="T36" s="42" t="s">
        <v>35</v>
      </c>
      <c r="V36" s="37" t="str">
        <f>V7</f>
        <v>PY18</v>
      </c>
      <c r="W36" s="102" t="str">
        <f>W17</f>
        <v>FY19 Actual</v>
      </c>
      <c r="X36" s="35" t="s">
        <v>87</v>
      </c>
    </row>
    <row r="37" spans="1:25" ht="12.75" customHeight="1" x14ac:dyDescent="0.2">
      <c r="A37" s="2" t="s">
        <v>5</v>
      </c>
      <c r="B37" s="2" t="s">
        <v>6</v>
      </c>
      <c r="C37" s="2">
        <v>56</v>
      </c>
      <c r="D37" s="2" t="s">
        <v>7</v>
      </c>
      <c r="E37" s="5">
        <v>30657.51</v>
      </c>
      <c r="F37" s="17">
        <f>E37/E$41</f>
        <v>0.37371256171146461</v>
      </c>
      <c r="J37" s="2" t="s">
        <v>7</v>
      </c>
      <c r="K37" s="55">
        <f>'Sara Ballard eml 6-5-18'!Q5*0.9</f>
        <v>169968.33155887789</v>
      </c>
      <c r="L37" s="45">
        <v>194000.71000000002</v>
      </c>
      <c r="M37" s="8">
        <f>K37-L37</f>
        <v>-24032.378441122128</v>
      </c>
      <c r="N37" s="9">
        <f>-1+(K37/L37)</f>
        <v>-0.12387778602007238</v>
      </c>
      <c r="P37" s="45">
        <v>157036.51</v>
      </c>
      <c r="Q37" s="31">
        <v>152464.54999999999</v>
      </c>
      <c r="R37" s="8">
        <v>119359</v>
      </c>
      <c r="S37" s="8">
        <v>108168</v>
      </c>
      <c r="T37" s="25">
        <v>28583</v>
      </c>
      <c r="V37" s="6">
        <f>(K37/K$41)*V$35</f>
        <v>29637.994990059982</v>
      </c>
      <c r="W37" s="103">
        <f t="shared" ref="W37:W39" si="18">K37-V37</f>
        <v>140330.3365688179</v>
      </c>
      <c r="X37" s="6">
        <f>V37+W37</f>
        <v>169968.33155887789</v>
      </c>
    </row>
    <row r="38" spans="1:25" ht="12.75" customHeight="1" x14ac:dyDescent="0.2">
      <c r="A38" s="2" t="s">
        <v>5</v>
      </c>
      <c r="B38" s="2" t="s">
        <v>6</v>
      </c>
      <c r="C38" s="2">
        <v>58</v>
      </c>
      <c r="D38" s="2" t="s">
        <v>8</v>
      </c>
      <c r="E38" s="5">
        <v>13125.43</v>
      </c>
      <c r="F38" s="17">
        <f>E38/E$41</f>
        <v>0.15999792771378071</v>
      </c>
      <c r="J38" s="2" t="s">
        <v>8</v>
      </c>
      <c r="K38" s="55">
        <f>'Sara Ballard eml 6-5-18'!Q6*0.9</f>
        <v>87930.67372067293</v>
      </c>
      <c r="L38" s="45">
        <v>83063.359999999986</v>
      </c>
      <c r="M38" s="8">
        <f>K38-L38</f>
        <v>4867.3137206729443</v>
      </c>
      <c r="N38" s="9">
        <f>-1+(K38/L38)</f>
        <v>5.859760212773657E-2</v>
      </c>
      <c r="P38" s="45">
        <v>68508.66</v>
      </c>
      <c r="Q38" s="31">
        <v>61567.9</v>
      </c>
      <c r="R38" s="8">
        <v>58892</v>
      </c>
      <c r="S38" s="8">
        <v>36638</v>
      </c>
      <c r="T38" s="25">
        <v>41330</v>
      </c>
      <c r="V38" s="6">
        <f t="shared" ref="V38:V40" si="19">(K38/K$41)*V$35</f>
        <v>15332.790781105839</v>
      </c>
      <c r="W38" s="103">
        <f t="shared" si="18"/>
        <v>72597.882939567091</v>
      </c>
      <c r="X38" s="6">
        <f t="shared" ref="X38:X40" si="20">V38+W38</f>
        <v>87930.67372067293</v>
      </c>
    </row>
    <row r="39" spans="1:25" ht="12.75" customHeight="1" x14ac:dyDescent="0.2">
      <c r="A39" s="2" t="s">
        <v>5</v>
      </c>
      <c r="B39" s="2" t="s">
        <v>6</v>
      </c>
      <c r="C39" s="2">
        <v>61</v>
      </c>
      <c r="D39" s="2" t="s">
        <v>9</v>
      </c>
      <c r="E39" s="5">
        <v>10866.66</v>
      </c>
      <c r="F39" s="17">
        <f>E39/E$41</f>
        <v>0.13246370451636497</v>
      </c>
      <c r="J39" s="2" t="s">
        <v>9</v>
      </c>
      <c r="K39" s="55">
        <f>'Sara Ballard eml 6-5-18'!Q7*0.9</f>
        <v>75122.519600750951</v>
      </c>
      <c r="L39" s="45">
        <v>68763.22</v>
      </c>
      <c r="M39" s="8">
        <f>K39-L39</f>
        <v>6359.29960075095</v>
      </c>
      <c r="N39" s="9">
        <f>-1+(K39/L39)</f>
        <v>9.2481120005010631E-2</v>
      </c>
      <c r="P39" s="45">
        <v>52464.71</v>
      </c>
      <c r="Q39" s="31">
        <v>51740.75</v>
      </c>
      <c r="R39" s="8">
        <v>48509</v>
      </c>
      <c r="S39" s="8">
        <v>28172</v>
      </c>
      <c r="T39" s="25">
        <v>32670</v>
      </c>
      <c r="V39" s="6">
        <f t="shared" si="19"/>
        <v>13099.386451272396</v>
      </c>
      <c r="W39" s="103">
        <f t="shared" si="18"/>
        <v>62023.133149478555</v>
      </c>
      <c r="X39" s="6">
        <f t="shared" si="20"/>
        <v>75122.519600750951</v>
      </c>
    </row>
    <row r="40" spans="1:25" ht="12.75" customHeight="1" thickBot="1" x14ac:dyDescent="0.25">
      <c r="A40" s="2" t="s">
        <v>5</v>
      </c>
      <c r="B40" s="2" t="s">
        <v>6</v>
      </c>
      <c r="C40" s="2">
        <v>84</v>
      </c>
      <c r="D40" s="2" t="s">
        <v>10</v>
      </c>
      <c r="E40" s="5">
        <v>27385.4</v>
      </c>
      <c r="F40" s="17">
        <f>E40/E$41</f>
        <v>0.33382580605838974</v>
      </c>
      <c r="J40" s="2" t="s">
        <v>10</v>
      </c>
      <c r="K40" s="55">
        <f>'Sara Ballard eml 6-5-18'!Q8*0.9</f>
        <v>221058.8134061333</v>
      </c>
      <c r="L40" s="45">
        <v>173301.71</v>
      </c>
      <c r="M40" s="46">
        <f>K40-L40</f>
        <v>47757.103406133305</v>
      </c>
      <c r="N40" s="9">
        <f>-1+(K40/L40)</f>
        <v>0.27557202641643475</v>
      </c>
      <c r="P40" s="45">
        <v>137771.12</v>
      </c>
      <c r="Q40" s="50">
        <v>134289.79999999999</v>
      </c>
      <c r="R40" s="8">
        <v>106973</v>
      </c>
      <c r="S40" s="8">
        <v>58678</v>
      </c>
      <c r="T40" s="25">
        <v>102070</v>
      </c>
      <c r="V40" s="6">
        <f t="shared" si="19"/>
        <v>38546.827777561768</v>
      </c>
      <c r="W40" s="103">
        <f>K40-V40+0.66</f>
        <v>182512.64562857154</v>
      </c>
      <c r="X40" s="6">
        <f t="shared" si="20"/>
        <v>221059.4734061333</v>
      </c>
    </row>
    <row r="41" spans="1:25" ht="12.75" customHeight="1" thickBot="1" x14ac:dyDescent="0.25">
      <c r="D41" s="21" t="s">
        <v>18</v>
      </c>
      <c r="E41" s="16">
        <f>SUM(E37:E40)</f>
        <v>82035</v>
      </c>
      <c r="F41" s="17">
        <f>E41/E$41</f>
        <v>1</v>
      </c>
      <c r="K41" s="57">
        <f>SUM(K37:K40)</f>
        <v>554080.33828643512</v>
      </c>
      <c r="L41" s="45">
        <f>SUM(L37:L40)</f>
        <v>519129</v>
      </c>
      <c r="M41" s="44">
        <f t="shared" ref="M41" si="21">SUM(M37:M40)</f>
        <v>34951.338286435071</v>
      </c>
      <c r="N41" s="39">
        <f>-1+(K41/L41)</f>
        <v>6.7326884621038641E-2</v>
      </c>
      <c r="P41" s="45">
        <f>SUM(P37:P40)</f>
        <v>415781</v>
      </c>
      <c r="Q41" s="31">
        <f t="shared" ref="Q41" si="22">SUM(Q37:Q40)</f>
        <v>400062.99999999994</v>
      </c>
      <c r="R41" s="11">
        <f>SUM(R37:R40)</f>
        <v>333733</v>
      </c>
      <c r="S41" s="11">
        <f>SUM(S37:S40)</f>
        <v>231656</v>
      </c>
      <c r="T41" s="26">
        <f>SUM(T37:T40)</f>
        <v>204653</v>
      </c>
      <c r="V41" s="34">
        <f>SUM(V37:V40)</f>
        <v>96616.999999999985</v>
      </c>
      <c r="W41" s="104">
        <f>SUM(W37:W40)</f>
        <v>457463.99828643503</v>
      </c>
      <c r="X41" s="58">
        <f>SUM(X37:X40)</f>
        <v>554080.99828643515</v>
      </c>
    </row>
    <row r="42" spans="1:25" ht="12.75" customHeight="1" x14ac:dyDescent="0.2">
      <c r="D42" s="3"/>
      <c r="E42" s="6">
        <f>E41+E32</f>
        <v>91151</v>
      </c>
      <c r="K42" s="32">
        <f>+K32+K41</f>
        <v>615644.82031826128</v>
      </c>
      <c r="L42" s="13"/>
      <c r="M42" s="13"/>
      <c r="N42" s="14"/>
      <c r="P42" s="13"/>
      <c r="Q42" s="32">
        <f>Q41+Q32</f>
        <v>444513.99999999994</v>
      </c>
      <c r="R42" s="13"/>
      <c r="S42" s="13"/>
      <c r="V42" s="6">
        <f t="shared" ref="V42" si="23">K42-E42</f>
        <v>524493.82031826128</v>
      </c>
    </row>
    <row r="43" spans="1:25" ht="12.75" customHeight="1" x14ac:dyDescent="0.2">
      <c r="D43" s="23" t="s">
        <v>29</v>
      </c>
      <c r="E43" s="3"/>
      <c r="F43"/>
      <c r="K43" s="32"/>
      <c r="Q43" s="32"/>
    </row>
    <row r="44" spans="1:25" ht="12.75" hidden="1" customHeight="1" x14ac:dyDescent="0.2">
      <c r="D44" t="s">
        <v>14</v>
      </c>
      <c r="E44"/>
      <c r="F44"/>
      <c r="K44" s="32"/>
      <c r="Q44" s="32"/>
    </row>
    <row r="45" spans="1:25" ht="12.75" hidden="1" customHeight="1" x14ac:dyDescent="0.2">
      <c r="A45" s="1" t="s">
        <v>0</v>
      </c>
      <c r="B45" s="1" t="s">
        <v>1</v>
      </c>
      <c r="C45" s="1" t="s">
        <v>2</v>
      </c>
      <c r="E45"/>
      <c r="F45"/>
      <c r="K45" s="32"/>
      <c r="Q45" s="32"/>
    </row>
    <row r="46" spans="1:25" ht="17.25" customHeight="1" x14ac:dyDescent="0.25">
      <c r="A46" s="2" t="s">
        <v>5</v>
      </c>
      <c r="B46" s="2" t="s">
        <v>6</v>
      </c>
      <c r="C46" s="2">
        <v>56</v>
      </c>
      <c r="D46" t="str">
        <f>D53</f>
        <v xml:space="preserve">Youth Adm </v>
      </c>
      <c r="F46"/>
      <c r="J46" s="7" t="s">
        <v>70</v>
      </c>
      <c r="K46" s="32"/>
      <c r="Q46" s="32"/>
    </row>
    <row r="47" spans="1:25" ht="12.75" customHeight="1" x14ac:dyDescent="0.2">
      <c r="A47" s="2" t="s">
        <v>5</v>
      </c>
      <c r="B47" s="2" t="s">
        <v>6</v>
      </c>
      <c r="C47" s="2">
        <v>58</v>
      </c>
      <c r="D47" s="1" t="s">
        <v>3</v>
      </c>
      <c r="E47" s="4" t="s">
        <v>12</v>
      </c>
      <c r="F47"/>
      <c r="J47" s="18" t="s">
        <v>3</v>
      </c>
      <c r="K47" s="51" t="s">
        <v>46</v>
      </c>
      <c r="L47" s="51" t="s">
        <v>43</v>
      </c>
      <c r="M47" s="24" t="s">
        <v>24</v>
      </c>
      <c r="N47" s="24" t="s">
        <v>23</v>
      </c>
      <c r="P47" s="51" t="s">
        <v>36</v>
      </c>
      <c r="Q47" s="51" t="s">
        <v>30</v>
      </c>
      <c r="R47" s="36" t="s">
        <v>20</v>
      </c>
      <c r="S47" s="36" t="s">
        <v>33</v>
      </c>
      <c r="T47" s="33" t="s">
        <v>21</v>
      </c>
      <c r="W47" s="107"/>
    </row>
    <row r="48" spans="1:25" ht="12.75" customHeight="1" x14ac:dyDescent="0.2">
      <c r="A48" s="2" t="s">
        <v>5</v>
      </c>
      <c r="B48" s="2" t="s">
        <v>6</v>
      </c>
      <c r="C48" s="2">
        <v>61</v>
      </c>
      <c r="D48" s="2" t="s">
        <v>7</v>
      </c>
      <c r="E48" s="5">
        <f>106335*0.04</f>
        <v>4253.3999999999996</v>
      </c>
      <c r="F48"/>
      <c r="J48" s="2" t="s">
        <v>7</v>
      </c>
      <c r="K48" s="5">
        <f>'Sara Ballard eml 6-5-18'!L5*0.04</f>
        <v>3853.2622609954697</v>
      </c>
      <c r="L48" s="30">
        <v>4253.3999999999996</v>
      </c>
      <c r="M48" s="8">
        <f t="shared" ref="M48:M53" si="24">K48-L48</f>
        <v>-400.13773900452998</v>
      </c>
      <c r="N48" s="9">
        <f t="shared" ref="N48:N53" si="25">-1+(K48/L48)</f>
        <v>-9.4074796399240657E-2</v>
      </c>
      <c r="P48" s="30">
        <v>2799.01</v>
      </c>
      <c r="Q48" s="30">
        <v>2190.2959999999998</v>
      </c>
      <c r="R48" s="8">
        <v>1442.6440000000002</v>
      </c>
      <c r="S48" s="8">
        <v>1293.8320000000001</v>
      </c>
      <c r="T48" s="29">
        <v>2036</v>
      </c>
      <c r="W48" s="107"/>
      <c r="Y48" s="96">
        <f>K48+X8+X27</f>
        <v>15186.492786865871</v>
      </c>
    </row>
    <row r="49" spans="1:25" ht="12.75" customHeight="1" x14ac:dyDescent="0.2">
      <c r="A49" s="2" t="s">
        <v>5</v>
      </c>
      <c r="B49" s="2" t="s">
        <v>6</v>
      </c>
      <c r="C49" s="2">
        <v>84</v>
      </c>
      <c r="D49" s="2" t="s">
        <v>8</v>
      </c>
      <c r="E49" s="5">
        <f>78693*0.04</f>
        <v>3147.7200000000003</v>
      </c>
      <c r="F49"/>
      <c r="J49" s="2" t="s">
        <v>8</v>
      </c>
      <c r="K49" s="5">
        <f>'Sara Ballard eml 6-5-18'!L6*0.04</f>
        <v>3248.1932610225649</v>
      </c>
      <c r="L49" s="30">
        <v>3147.7200000000003</v>
      </c>
      <c r="M49" s="8">
        <f t="shared" si="24"/>
        <v>100.47326102256466</v>
      </c>
      <c r="N49" s="9">
        <f t="shared" si="25"/>
        <v>3.1919376889483431E-2</v>
      </c>
      <c r="P49" s="30">
        <v>2080.59</v>
      </c>
      <c r="Q49" s="30">
        <v>1943.5160000000001</v>
      </c>
      <c r="R49" s="8">
        <v>1759.3200000000002</v>
      </c>
      <c r="S49" s="8">
        <v>1737.36</v>
      </c>
      <c r="T49" s="30">
        <v>2688</v>
      </c>
      <c r="W49" s="107"/>
      <c r="Y49" s="96">
        <f>K49+X9+X28</f>
        <v>10306.119114106605</v>
      </c>
    </row>
    <row r="50" spans="1:25" ht="12.75" customHeight="1" x14ac:dyDescent="0.2">
      <c r="A50" s="3"/>
      <c r="B50" s="3"/>
      <c r="C50" s="3"/>
      <c r="D50" s="2" t="s">
        <v>9</v>
      </c>
      <c r="E50" s="5">
        <f>64177*0.04</f>
        <v>2567.08</v>
      </c>
      <c r="F50"/>
      <c r="J50" s="2" t="s">
        <v>9</v>
      </c>
      <c r="K50" s="5">
        <f>'Sara Ballard eml 6-5-18'!L7*0.04</f>
        <v>2636.2756834755978</v>
      </c>
      <c r="L50" s="30">
        <v>2567.08</v>
      </c>
      <c r="M50" s="8">
        <f t="shared" si="24"/>
        <v>69.195683475597889</v>
      </c>
      <c r="N50" s="9">
        <f t="shared" si="25"/>
        <v>2.6955016390450615E-2</v>
      </c>
      <c r="P50" s="30">
        <v>1596.86</v>
      </c>
      <c r="Q50" s="30">
        <v>1481.4960000000001</v>
      </c>
      <c r="R50" s="8">
        <v>1488.2280000000001</v>
      </c>
      <c r="S50" s="8">
        <v>1584.924</v>
      </c>
      <c r="T50" s="30">
        <v>1915</v>
      </c>
      <c r="W50" s="107"/>
      <c r="Y50" s="96">
        <f t="shared" ref="Y50:Y53" si="26">K50+X10+X29</f>
        <v>8918.6072807504115</v>
      </c>
    </row>
    <row r="51" spans="1:25" ht="12.75" customHeight="1" x14ac:dyDescent="0.2">
      <c r="D51" s="2" t="s">
        <v>10</v>
      </c>
      <c r="E51" s="5">
        <f>223089*0.04</f>
        <v>8923.56</v>
      </c>
      <c r="F51"/>
      <c r="J51" s="2" t="s">
        <v>10</v>
      </c>
      <c r="K51" s="5">
        <f>'Sara Ballard eml 6-5-18'!L8*0.04</f>
        <v>10775.808739940587</v>
      </c>
      <c r="L51" s="30">
        <v>8923.56</v>
      </c>
      <c r="M51" s="8">
        <f t="shared" si="24"/>
        <v>1852.2487399405873</v>
      </c>
      <c r="N51" s="9">
        <f t="shared" si="25"/>
        <v>0.20756836284404279</v>
      </c>
      <c r="P51" s="30">
        <v>5418.14</v>
      </c>
      <c r="Q51" s="30">
        <v>4796.2920000000004</v>
      </c>
      <c r="R51" s="8">
        <v>4646.2080000000005</v>
      </c>
      <c r="S51" s="8">
        <v>5179.0839999999998</v>
      </c>
      <c r="T51" s="30">
        <v>5158</v>
      </c>
      <c r="Y51" s="96">
        <f t="shared" si="26"/>
        <v>30863.767385598298</v>
      </c>
    </row>
    <row r="52" spans="1:25" ht="12.75" customHeight="1" thickBot="1" x14ac:dyDescent="0.25">
      <c r="D52" s="2" t="s">
        <v>11</v>
      </c>
      <c r="E52" s="5">
        <f>(472294*0.06)-0.4</f>
        <v>28337.239999999998</v>
      </c>
      <c r="F52"/>
      <c r="J52" s="2" t="s">
        <v>11</v>
      </c>
      <c r="K52" s="5">
        <f>'Sara Ballard eml 6-5-18'!L9*0.06</f>
        <v>30770.309918151328</v>
      </c>
      <c r="L52" s="30">
        <v>28337.239999999998</v>
      </c>
      <c r="M52" s="8">
        <f t="shared" si="24"/>
        <v>2433.0699181513301</v>
      </c>
      <c r="N52" s="9">
        <f t="shared" si="25"/>
        <v>8.586121718810058E-2</v>
      </c>
      <c r="P52" s="30">
        <v>17843.399999999998</v>
      </c>
      <c r="Q52" s="52">
        <v>15617.4</v>
      </c>
      <c r="R52" s="8">
        <v>14004.6</v>
      </c>
      <c r="S52" s="8">
        <v>14692.8</v>
      </c>
      <c r="T52" s="30">
        <v>17696</v>
      </c>
      <c r="Y52" s="96">
        <f t="shared" si="26"/>
        <v>97913.859850981768</v>
      </c>
    </row>
    <row r="53" spans="1:25" ht="12.75" customHeight="1" thickBot="1" x14ac:dyDescent="0.25">
      <c r="D53" s="3" t="s">
        <v>27</v>
      </c>
      <c r="E53" s="10">
        <f>SUM(E48:E52)</f>
        <v>47229</v>
      </c>
      <c r="F53"/>
      <c r="K53" s="57">
        <f>SUM(K48:K52)</f>
        <v>51283.84986358555</v>
      </c>
      <c r="L53" s="57">
        <f>SUM(L48:L52)</f>
        <v>47229</v>
      </c>
      <c r="M53" s="11">
        <f t="shared" si="24"/>
        <v>4054.8498635855503</v>
      </c>
      <c r="N53" s="9">
        <f t="shared" si="25"/>
        <v>8.5855086145917747E-2</v>
      </c>
      <c r="P53" s="57">
        <f>SUM(P48:P52)</f>
        <v>29738</v>
      </c>
      <c r="Q53" s="31">
        <f>SUM(Q48:Q52)</f>
        <v>26029</v>
      </c>
      <c r="R53" s="11">
        <f>SUM(R48:R52)</f>
        <v>23341</v>
      </c>
      <c r="S53" s="11">
        <f>SUM(S48:S52)</f>
        <v>24488</v>
      </c>
      <c r="T53" s="31">
        <v>29493</v>
      </c>
      <c r="Y53" s="96">
        <f t="shared" si="26"/>
        <v>163188.84641830294</v>
      </c>
    </row>
    <row r="54" spans="1:25" ht="12.75" customHeight="1" x14ac:dyDescent="0.2">
      <c r="D54" s="3"/>
      <c r="F54"/>
      <c r="K54" s="32"/>
      <c r="L54" s="32"/>
      <c r="P54" s="32"/>
      <c r="Q54" s="32"/>
      <c r="T54" s="32"/>
    </row>
    <row r="55" spans="1:25" ht="12.75" customHeight="1" x14ac:dyDescent="0.2">
      <c r="A55" s="1" t="s">
        <v>0</v>
      </c>
      <c r="B55" s="1" t="s">
        <v>1</v>
      </c>
      <c r="C55" s="1" t="s">
        <v>2</v>
      </c>
      <c r="D55" s="3"/>
      <c r="F55"/>
      <c r="K55" s="32"/>
      <c r="L55" s="32"/>
      <c r="P55" s="32"/>
      <c r="Q55" s="32"/>
      <c r="T55" s="32"/>
    </row>
    <row r="56" spans="1:25" ht="12.75" customHeight="1" x14ac:dyDescent="0.25">
      <c r="A56" s="2" t="s">
        <v>5</v>
      </c>
      <c r="B56" s="2" t="s">
        <v>6</v>
      </c>
      <c r="C56" s="2">
        <v>56</v>
      </c>
      <c r="D56" t="str">
        <f>D62</f>
        <v>Youth Program</v>
      </c>
      <c r="F56"/>
      <c r="J56" s="7" t="s">
        <v>71</v>
      </c>
      <c r="K56" s="32"/>
      <c r="L56" s="32"/>
      <c r="P56" s="32"/>
      <c r="Q56" s="32"/>
      <c r="T56" s="32"/>
    </row>
    <row r="57" spans="1:25" ht="12.75" customHeight="1" x14ac:dyDescent="0.2">
      <c r="A57" s="2" t="s">
        <v>5</v>
      </c>
      <c r="B57" s="2" t="s">
        <v>6</v>
      </c>
      <c r="C57" s="2">
        <v>58</v>
      </c>
      <c r="D57" s="1" t="s">
        <v>3</v>
      </c>
      <c r="E57" s="4" t="s">
        <v>4</v>
      </c>
      <c r="F57"/>
      <c r="G57" s="23" t="s">
        <v>45</v>
      </c>
      <c r="J57" s="18" t="s">
        <v>3</v>
      </c>
      <c r="K57" s="51" t="str">
        <f>K47</f>
        <v>PY18 Final</v>
      </c>
      <c r="L57" s="51" t="str">
        <f>L47</f>
        <v>PY17 Final</v>
      </c>
      <c r="M57" s="24" t="s">
        <v>24</v>
      </c>
      <c r="N57" s="24" t="s">
        <v>23</v>
      </c>
      <c r="P57" s="51" t="str">
        <f>P47</f>
        <v>PY16 Final</v>
      </c>
      <c r="Q57" s="51" t="s">
        <v>30</v>
      </c>
      <c r="R57" s="28" t="str">
        <f>R47</f>
        <v>PY14 Final</v>
      </c>
      <c r="S57" s="36" t="s">
        <v>33</v>
      </c>
      <c r="T57" s="33" t="s">
        <v>21</v>
      </c>
    </row>
    <row r="58" spans="1:25" ht="12.75" customHeight="1" x14ac:dyDescent="0.2">
      <c r="A58" s="2" t="s">
        <v>5</v>
      </c>
      <c r="B58" s="2" t="s">
        <v>6</v>
      </c>
      <c r="C58" s="2">
        <v>61</v>
      </c>
      <c r="D58" s="2" t="s">
        <v>7</v>
      </c>
      <c r="E58" s="5">
        <v>95701.39</v>
      </c>
      <c r="F58"/>
      <c r="G58" s="59" t="s">
        <v>44</v>
      </c>
      <c r="J58" s="2" t="s">
        <v>7</v>
      </c>
      <c r="K58" s="30">
        <f>'Sara Ballard eml 6-5-18'!L5*0.9</f>
        <v>86698.400872398066</v>
      </c>
      <c r="L58" s="30">
        <v>95701.39</v>
      </c>
      <c r="M58" s="8">
        <f>K58-L58</f>
        <v>-9002.9891276019334</v>
      </c>
      <c r="N58" s="9">
        <f>-1+(K58/L58)</f>
        <v>-9.4073755121027336E-2</v>
      </c>
      <c r="P58" s="30">
        <v>62977.34</v>
      </c>
      <c r="Q58" s="30">
        <v>49275.12</v>
      </c>
      <c r="R58" s="8">
        <v>32458.95</v>
      </c>
      <c r="S58" s="8">
        <v>29111.09</v>
      </c>
      <c r="T58" s="29">
        <v>45806</v>
      </c>
    </row>
    <row r="59" spans="1:25" ht="12.75" customHeight="1" x14ac:dyDescent="0.2">
      <c r="A59" s="2" t="s">
        <v>5</v>
      </c>
      <c r="B59" s="2" t="s">
        <v>6</v>
      </c>
      <c r="C59" s="2">
        <v>84</v>
      </c>
      <c r="D59" s="2" t="s">
        <v>8</v>
      </c>
      <c r="E59" s="5">
        <v>70823.56</v>
      </c>
      <c r="F59"/>
      <c r="J59" s="2" t="s">
        <v>8</v>
      </c>
      <c r="K59" s="30">
        <f>'Sara Ballard eml 6-5-18'!L6*0.9</f>
        <v>73084.348373007713</v>
      </c>
      <c r="L59" s="30">
        <v>70823.56</v>
      </c>
      <c r="M59" s="8">
        <f>K59-L59</f>
        <v>2260.7883730077156</v>
      </c>
      <c r="N59" s="9">
        <f>-1+(K59/L59)</f>
        <v>3.1921416729231211E-2</v>
      </c>
      <c r="P59" s="30">
        <v>46824.45</v>
      </c>
      <c r="Q59" s="30">
        <v>43728.45</v>
      </c>
      <c r="R59" s="8">
        <v>39584.300000000003</v>
      </c>
      <c r="S59" s="8">
        <v>39091.47</v>
      </c>
      <c r="T59" s="30">
        <v>60495</v>
      </c>
    </row>
    <row r="60" spans="1:25" ht="12.75" customHeight="1" x14ac:dyDescent="0.2">
      <c r="D60" s="2" t="s">
        <v>9</v>
      </c>
      <c r="E60" s="5">
        <v>57759.56</v>
      </c>
      <c r="F60"/>
      <c r="J60" s="2" t="s">
        <v>9</v>
      </c>
      <c r="K60" s="30">
        <f>'Sara Ballard eml 6-5-18'!L7*0.9</f>
        <v>59316.202878200951</v>
      </c>
      <c r="L60" s="30">
        <v>57759.56</v>
      </c>
      <c r="M60" s="8">
        <f>K60-L60</f>
        <v>1556.6428782009534</v>
      </c>
      <c r="N60" s="9">
        <f>-1+(K60/L60)</f>
        <v>2.6950393635286618E-2</v>
      </c>
      <c r="P60" s="30">
        <v>35937.519999999997</v>
      </c>
      <c r="Q60" s="30">
        <v>33333.94</v>
      </c>
      <c r="R60" s="8">
        <v>33483.57</v>
      </c>
      <c r="S60" s="8">
        <v>35659.57</v>
      </c>
      <c r="T60" s="30">
        <v>43091</v>
      </c>
    </row>
    <row r="61" spans="1:25" ht="13.5" thickBot="1" x14ac:dyDescent="0.25">
      <c r="D61" s="2" t="s">
        <v>10</v>
      </c>
      <c r="E61" s="5">
        <v>200779.49</v>
      </c>
      <c r="F61"/>
      <c r="J61" s="2" t="s">
        <v>10</v>
      </c>
      <c r="K61" s="30">
        <f>'Sara Ballard eml 6-5-18'!L8*0.9</f>
        <v>242455.6966486632</v>
      </c>
      <c r="L61" s="30">
        <v>200779.49</v>
      </c>
      <c r="M61" s="8">
        <f>K61-L61</f>
        <v>41676.20664866321</v>
      </c>
      <c r="N61" s="9">
        <f>-1+(K61/L61)</f>
        <v>0.2075720316286449</v>
      </c>
      <c r="P61" s="30">
        <v>121913.69</v>
      </c>
      <c r="Q61" s="52">
        <v>107921.49</v>
      </c>
      <c r="R61" s="8">
        <v>104539.18</v>
      </c>
      <c r="S61" s="8">
        <v>116527.87</v>
      </c>
      <c r="T61" s="30">
        <v>116044</v>
      </c>
    </row>
    <row r="62" spans="1:25" ht="13.5" thickBot="1" x14ac:dyDescent="0.25">
      <c r="D62" s="3" t="s">
        <v>28</v>
      </c>
      <c r="E62" s="10">
        <f>SUM(E58:E61)</f>
        <v>425064</v>
      </c>
      <c r="F62"/>
      <c r="K62" s="57">
        <f>SUM(K58:K61)-1</f>
        <v>461553.64877226995</v>
      </c>
      <c r="L62" s="57">
        <f>SUM(L58:L61)</f>
        <v>425064</v>
      </c>
      <c r="M62" s="11">
        <f>K62-L62</f>
        <v>36489.648772269953</v>
      </c>
      <c r="N62" s="9">
        <f>-1+(K62/L62)</f>
        <v>8.5845069853645484E-2</v>
      </c>
      <c r="P62" s="57">
        <f>SUM(P58:P61)</f>
        <v>267653</v>
      </c>
      <c r="Q62" s="31">
        <f>SUM(Q58:Q61)</f>
        <v>234259</v>
      </c>
      <c r="R62" s="11">
        <f>SUM(R58:R61)</f>
        <v>210066</v>
      </c>
      <c r="S62" s="11">
        <f>SUM(S58:S61)</f>
        <v>220390</v>
      </c>
      <c r="T62" s="30">
        <v>265436</v>
      </c>
    </row>
    <row r="63" spans="1:25" x14ac:dyDescent="0.2">
      <c r="E63" s="6">
        <f>+E62+E53</f>
        <v>472293</v>
      </c>
      <c r="K63" s="32">
        <f>+K62+K53</f>
        <v>512837.4986358555</v>
      </c>
      <c r="L63" s="32">
        <f>+L62+L53</f>
        <v>472293</v>
      </c>
      <c r="P63" s="32">
        <f>+P62+P53</f>
        <v>297391</v>
      </c>
      <c r="Q63" s="32">
        <f>Q62+Q53</f>
        <v>260288</v>
      </c>
      <c r="T63" s="32"/>
    </row>
    <row r="64" spans="1:25" x14ac:dyDescent="0.2">
      <c r="J64" s="23" t="s">
        <v>26</v>
      </c>
      <c r="K64" s="13">
        <f>K13+K22+K32+K41+K53+K62</f>
        <v>1631896.6641830297</v>
      </c>
      <c r="L64" s="13">
        <f>L13+L22+L32+L41+L53+L62</f>
        <v>1512000</v>
      </c>
      <c r="P64" s="13">
        <f>P13+P22+P32+P41+P53+P62</f>
        <v>1058610</v>
      </c>
      <c r="Q64" s="13">
        <f>Q13+Q22+Q32+Q41+Q53+Q62</f>
        <v>973092.99</v>
      </c>
      <c r="R64" s="13">
        <f>R13+R22+R32+R41+R53+R62</f>
        <v>845539.99</v>
      </c>
      <c r="S64" s="13">
        <f>S13+S22+S32+S41+S53+S62</f>
        <v>745119</v>
      </c>
      <c r="T64" s="13">
        <f>T13+T22+T32+T41+T53+T62</f>
        <v>804617</v>
      </c>
    </row>
    <row r="65" spans="10:19" x14ac:dyDescent="0.2">
      <c r="J65" t="s">
        <v>32</v>
      </c>
      <c r="K65" s="38">
        <f>K64/L64</f>
        <v>1.0792967355707868</v>
      </c>
      <c r="L65" s="38">
        <f>L64/P64</f>
        <v>1.428288038087681</v>
      </c>
      <c r="P65" s="38">
        <f>P64/Q64</f>
        <v>1.0878816422261968</v>
      </c>
      <c r="Q65" s="38">
        <f>Q64/R64</f>
        <v>1.1508538939713544</v>
      </c>
      <c r="R65" s="38">
        <f>R64/S64</f>
        <v>1.1347717478684614</v>
      </c>
      <c r="S65" s="38">
        <f>S64/T64</f>
        <v>0.92605425935569341</v>
      </c>
    </row>
  </sheetData>
  <mergeCells count="1">
    <mergeCell ref="S1:T1"/>
  </mergeCells>
  <phoneticPr fontId="7" type="noConversion"/>
  <pageMargins left="0.75" right="0.75" top="1" bottom="1" header="0.5" footer="0.5"/>
  <pageSetup scale="51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65"/>
  <sheetViews>
    <sheetView topLeftCell="J39" zoomScaleNormal="100" workbookViewId="0">
      <selection activeCell="U66" sqref="U66"/>
    </sheetView>
  </sheetViews>
  <sheetFormatPr defaultColWidth="9.140625" defaultRowHeight="12.75" x14ac:dyDescent="0.2"/>
  <cols>
    <col min="1" max="1" width="16.42578125" hidden="1" customWidth="1"/>
    <col min="2" max="2" width="22.5703125" hidden="1" customWidth="1"/>
    <col min="3" max="3" width="7.28515625" hidden="1" customWidth="1"/>
    <col min="4" max="4" width="15.42578125" hidden="1" customWidth="1"/>
    <col min="5" max="5" width="16.42578125" style="6" hidden="1" customWidth="1"/>
    <col min="6" max="6" width="15.28515625" style="6" hidden="1" customWidth="1"/>
    <col min="7" max="7" width="10.140625" hidden="1" customWidth="1"/>
    <col min="8" max="9" width="0" hidden="1" customWidth="1"/>
    <col min="10" max="10" width="15.7109375" customWidth="1"/>
    <col min="11" max="11" width="16.28515625" hidden="1" customWidth="1"/>
    <col min="12" max="12" width="11.28515625" customWidth="1"/>
    <col min="13" max="14" width="10.5703125" customWidth="1"/>
    <col min="15" max="15" width="12.140625" customWidth="1"/>
    <col min="16" max="16" width="14.42578125" hidden="1" customWidth="1"/>
    <col min="17" max="17" width="12" hidden="1" customWidth="1"/>
    <col min="18" max="18" width="14.140625" hidden="1" customWidth="1"/>
    <col min="19" max="19" width="11.28515625" hidden="1" customWidth="1"/>
  </cols>
  <sheetData>
    <row r="1" spans="1:19" s="7" customFormat="1" ht="21" thickBot="1" x14ac:dyDescent="0.35">
      <c r="D1" s="20" t="s">
        <v>13</v>
      </c>
      <c r="J1" s="15" t="s">
        <v>39</v>
      </c>
      <c r="N1" s="194">
        <f ca="1">NOW()</f>
        <v>45157.674522685185</v>
      </c>
      <c r="O1" s="194"/>
    </row>
    <row r="2" spans="1:19" s="7" customFormat="1" ht="15.75" x14ac:dyDescent="0.25">
      <c r="J2" s="7" t="s">
        <v>47</v>
      </c>
    </row>
    <row r="3" spans="1:19" s="7" customFormat="1" ht="15.75" x14ac:dyDescent="0.25"/>
    <row r="4" spans="1:19" s="7" customFormat="1" ht="16.5" thickBot="1" x14ac:dyDescent="0.3">
      <c r="D4" s="41" t="s">
        <v>48</v>
      </c>
      <c r="F4" s="40"/>
      <c r="J4" s="7" t="s">
        <v>68</v>
      </c>
      <c r="M4" s="92">
        <f>N4+O4</f>
        <v>509.77</v>
      </c>
      <c r="N4" s="91">
        <v>29.7</v>
      </c>
      <c r="O4" s="91">
        <v>480.07</v>
      </c>
    </row>
    <row r="5" spans="1:19" s="7" customFormat="1" ht="16.5" hidden="1" thickBot="1" x14ac:dyDescent="0.3">
      <c r="E5" s="40" t="s">
        <v>49</v>
      </c>
      <c r="J5" s="7" t="s">
        <v>50</v>
      </c>
    </row>
    <row r="6" spans="1:19" ht="13.5" hidden="1" thickBot="1" x14ac:dyDescent="0.25">
      <c r="A6" t="str">
        <f>D13</f>
        <v xml:space="preserve">Adult Adm </v>
      </c>
      <c r="D6" s="22" t="str">
        <f>D13</f>
        <v xml:space="preserve">Adult Adm </v>
      </c>
      <c r="K6" s="53">
        <f>483473*0.1</f>
        <v>48347.3</v>
      </c>
    </row>
    <row r="7" spans="1:19" ht="39" customHeight="1" thickBot="1" x14ac:dyDescent="0.3">
      <c r="A7" s="1" t="s">
        <v>0</v>
      </c>
      <c r="B7" s="1" t="s">
        <v>1</v>
      </c>
      <c r="C7" s="1" t="s">
        <v>2</v>
      </c>
      <c r="D7" s="1" t="s">
        <v>3</v>
      </c>
      <c r="E7" s="4" t="s">
        <v>12</v>
      </c>
      <c r="F7" s="27" t="s">
        <v>22</v>
      </c>
      <c r="J7" s="18" t="s">
        <v>3</v>
      </c>
      <c r="K7" s="54" t="s">
        <v>19</v>
      </c>
      <c r="L7" s="43" t="s">
        <v>81</v>
      </c>
      <c r="M7" s="42" t="s">
        <v>82</v>
      </c>
      <c r="N7" s="42" t="s">
        <v>83</v>
      </c>
      <c r="O7" s="42" t="s">
        <v>84</v>
      </c>
      <c r="P7" s="37" t="s">
        <v>41</v>
      </c>
      <c r="Q7" s="37" t="s">
        <v>42</v>
      </c>
      <c r="R7" s="35" t="s">
        <v>25</v>
      </c>
      <c r="S7" s="43" t="s">
        <v>40</v>
      </c>
    </row>
    <row r="8" spans="1:19" ht="12.75" customHeight="1" x14ac:dyDescent="0.2">
      <c r="A8" s="2" t="s">
        <v>5</v>
      </c>
      <c r="B8" s="2" t="s">
        <v>6</v>
      </c>
      <c r="C8" s="2">
        <v>56</v>
      </c>
      <c r="D8" s="2" t="s">
        <v>7</v>
      </c>
      <c r="E8" s="5">
        <f>'Sara Ballard eml 6-5-18'!G5*0.04</f>
        <v>3779.9924565869383</v>
      </c>
      <c r="F8" s="17">
        <f t="shared" ref="F8:F13" si="0">E8/E$13</f>
        <v>7.5087102551042673E-2</v>
      </c>
      <c r="J8" s="2" t="s">
        <v>7</v>
      </c>
      <c r="K8" s="55">
        <f>'Sara Ballard eml 6-5-18'!G5*0.04</f>
        <v>3779.9924565869383</v>
      </c>
      <c r="L8" s="45">
        <v>4096.2880000000005</v>
      </c>
      <c r="M8" s="93">
        <f>(L8/L$13)*M$4</f>
        <v>45.111467816543893</v>
      </c>
      <c r="N8" s="93"/>
      <c r="O8" s="93">
        <f>M8</f>
        <v>45.111467816543893</v>
      </c>
      <c r="P8" s="6">
        <f>K8-E8</f>
        <v>0</v>
      </c>
      <c r="Q8" s="6"/>
      <c r="R8" s="6">
        <f>Q8-P8</f>
        <v>0</v>
      </c>
      <c r="S8" s="45">
        <f>+Q8+E8</f>
        <v>3779.9924565869383</v>
      </c>
    </row>
    <row r="9" spans="1:19" ht="12.75" customHeight="1" x14ac:dyDescent="0.2">
      <c r="A9" s="2" t="s">
        <v>5</v>
      </c>
      <c r="B9" s="2" t="s">
        <v>6</v>
      </c>
      <c r="C9" s="2">
        <v>58</v>
      </c>
      <c r="D9" s="2" t="s">
        <v>8</v>
      </c>
      <c r="E9" s="5">
        <f>'Sara Ballard eml 6-5-18'!G6*0.04</f>
        <v>3149.895909943019</v>
      </c>
      <c r="F9" s="17">
        <f t="shared" si="0"/>
        <v>6.2570642648466776E-2</v>
      </c>
      <c r="J9" s="2" t="s">
        <v>8</v>
      </c>
      <c r="K9" s="55">
        <f>'Sara Ballard eml 6-5-18'!G6*0.04</f>
        <v>3149.895909943019</v>
      </c>
      <c r="L9" s="45">
        <v>3044.8360000000002</v>
      </c>
      <c r="M9" s="93">
        <f t="shared" ref="M9:M12" si="1">(L9/L$13)*M$4</f>
        <v>33.532071285186547</v>
      </c>
      <c r="N9" s="93"/>
      <c r="O9" s="93">
        <f t="shared" ref="O9:O11" si="2">M9</f>
        <v>33.532071285186547</v>
      </c>
      <c r="P9" s="6">
        <f>K9-E9</f>
        <v>0</v>
      </c>
      <c r="Q9" s="6"/>
      <c r="R9" s="6">
        <f t="shared" ref="R9:R13" si="3">Q9-P9</f>
        <v>0</v>
      </c>
      <c r="S9" s="45">
        <f>+Q9+E9</f>
        <v>3149.895909943019</v>
      </c>
    </row>
    <row r="10" spans="1:19" ht="12.75" customHeight="1" x14ac:dyDescent="0.2">
      <c r="A10" s="2" t="s">
        <v>5</v>
      </c>
      <c r="B10" s="2" t="s">
        <v>6</v>
      </c>
      <c r="C10" s="2">
        <v>61</v>
      </c>
      <c r="D10" s="2" t="s">
        <v>9</v>
      </c>
      <c r="E10" s="5">
        <f>'Sara Ballard eml 6-5-18'!G7*0.04</f>
        <v>2943.5529483525506</v>
      </c>
      <c r="F10" s="17">
        <f t="shared" si="0"/>
        <v>5.8471773326484303E-2</v>
      </c>
      <c r="J10" s="2" t="s">
        <v>9</v>
      </c>
      <c r="K10" s="55">
        <f>'Sara Ballard eml 6-5-18'!G7*0.04</f>
        <v>2943.5529483525506</v>
      </c>
      <c r="L10" s="45">
        <v>2774.6560000000004</v>
      </c>
      <c r="M10" s="93">
        <f t="shared" si="1"/>
        <v>30.556641731728924</v>
      </c>
      <c r="N10" s="93"/>
      <c r="O10" s="93">
        <f t="shared" si="2"/>
        <v>30.556641731728924</v>
      </c>
      <c r="P10" s="6">
        <f>K10-E10</f>
        <v>0</v>
      </c>
      <c r="Q10" s="60"/>
      <c r="R10" s="6">
        <f t="shared" si="3"/>
        <v>0</v>
      </c>
      <c r="S10" s="45">
        <f>+Q10+E10</f>
        <v>2943.5529483525506</v>
      </c>
    </row>
    <row r="11" spans="1:19" ht="12.75" customHeight="1" x14ac:dyDescent="0.2">
      <c r="A11" s="2" t="s">
        <v>5</v>
      </c>
      <c r="B11" s="2" t="s">
        <v>6</v>
      </c>
      <c r="C11" s="2">
        <v>84</v>
      </c>
      <c r="D11" s="2" t="s">
        <v>10</v>
      </c>
      <c r="E11" s="5">
        <f>'Sara Ballard eml 6-5-18'!G8*0.04</f>
        <v>10263.132494274008</v>
      </c>
      <c r="F11" s="17">
        <f t="shared" si="0"/>
        <v>0.2038704814740063</v>
      </c>
      <c r="J11" s="2" t="s">
        <v>10</v>
      </c>
      <c r="K11" s="55">
        <f>'Sara Ballard eml 6-5-18'!G8*0.04</f>
        <v>10263.132494274008</v>
      </c>
      <c r="L11" s="45">
        <v>8599.6200000000008</v>
      </c>
      <c r="M11" s="93">
        <f t="shared" si="1"/>
        <v>94.705616613018208</v>
      </c>
      <c r="N11" s="93"/>
      <c r="O11" s="93">
        <f t="shared" si="2"/>
        <v>94.705616613018208</v>
      </c>
      <c r="P11" s="6">
        <f>K11-E11</f>
        <v>0</v>
      </c>
      <c r="Q11" s="6"/>
      <c r="R11" s="6">
        <f t="shared" si="3"/>
        <v>0</v>
      </c>
      <c r="S11" s="45">
        <f>+Q11+E11</f>
        <v>10263.132494274008</v>
      </c>
    </row>
    <row r="12" spans="1:19" ht="12.75" customHeight="1" thickBot="1" x14ac:dyDescent="0.25">
      <c r="A12" s="3"/>
      <c r="B12" s="3"/>
      <c r="C12" s="3"/>
      <c r="D12" s="2" t="s">
        <v>11</v>
      </c>
      <c r="E12" s="12">
        <f>'Sara Ballard eml 6-5-18'!G9*0.06</f>
        <v>30204.860713734772</v>
      </c>
      <c r="F12" s="17">
        <f t="shared" si="0"/>
        <v>0.6</v>
      </c>
      <c r="J12" s="2" t="s">
        <v>11</v>
      </c>
      <c r="K12" s="55">
        <f>'Sara Ballard eml 6-5-18'!G9*0.06</f>
        <v>30204.860713734772</v>
      </c>
      <c r="L12" s="45">
        <v>27773.599999999999</v>
      </c>
      <c r="M12" s="93">
        <f t="shared" si="1"/>
        <v>305.86420255352238</v>
      </c>
      <c r="N12" s="93">
        <f>N4</f>
        <v>29.7</v>
      </c>
      <c r="O12" s="93">
        <f>M12-N12</f>
        <v>276.16420255352239</v>
      </c>
      <c r="P12" s="6">
        <f>K12-E12</f>
        <v>0</v>
      </c>
      <c r="Q12" s="6"/>
      <c r="R12" s="6">
        <f t="shared" si="3"/>
        <v>0</v>
      </c>
      <c r="S12" s="45">
        <f>+Q12+E12</f>
        <v>30204.860713734772</v>
      </c>
    </row>
    <row r="13" spans="1:19" ht="12.75" customHeight="1" thickBot="1" x14ac:dyDescent="0.25">
      <c r="D13" s="21" t="s">
        <v>15</v>
      </c>
      <c r="E13" s="49">
        <f>SUM(E8:E12)</f>
        <v>50341.434522891286</v>
      </c>
      <c r="F13" s="48">
        <f t="shared" si="0"/>
        <v>1</v>
      </c>
      <c r="K13" s="56">
        <f>SUM(K8:K12)</f>
        <v>50341.434522891286</v>
      </c>
      <c r="L13" s="11">
        <f>SUM(L8:L12)</f>
        <v>46289</v>
      </c>
      <c r="M13" s="94">
        <f>SUM(M8:M12)</f>
        <v>509.77</v>
      </c>
      <c r="N13" s="93">
        <f>SUM(N8:N12)</f>
        <v>29.7</v>
      </c>
      <c r="O13" s="93">
        <f>SUM(O8:O12)</f>
        <v>480.06999999999994</v>
      </c>
      <c r="P13" s="34">
        <f t="shared" ref="P13:Q13" si="4">SUM(P8:P12)</f>
        <v>0</v>
      </c>
      <c r="Q13" s="34">
        <f t="shared" si="4"/>
        <v>0</v>
      </c>
      <c r="R13" s="34">
        <f t="shared" si="3"/>
        <v>0</v>
      </c>
      <c r="S13" s="45">
        <f>SUM(S8:S12)</f>
        <v>50341.434522891286</v>
      </c>
    </row>
    <row r="14" spans="1:19" ht="12.75" customHeight="1" x14ac:dyDescent="0.2">
      <c r="D14" s="3"/>
      <c r="K14" s="32"/>
      <c r="M14" s="13"/>
      <c r="N14" s="61">
        <f>N4-N13</f>
        <v>0</v>
      </c>
      <c r="O14" s="61">
        <f>O4-O13</f>
        <v>0</v>
      </c>
      <c r="S14" s="6"/>
    </row>
    <row r="15" spans="1:19" ht="17.25" customHeight="1" thickBot="1" x14ac:dyDescent="0.3">
      <c r="D15" s="3"/>
      <c r="J15" s="7" t="s">
        <v>16</v>
      </c>
      <c r="K15" s="32"/>
      <c r="M15" s="99">
        <f>N15+O15</f>
        <v>1822.99</v>
      </c>
      <c r="N15" s="91">
        <v>267.29000000000002</v>
      </c>
      <c r="O15" s="91">
        <v>1555.7</v>
      </c>
    </row>
    <row r="16" spans="1:19" ht="12.75" hidden="1" customHeight="1" thickBot="1" x14ac:dyDescent="0.3">
      <c r="D16" s="22" t="str">
        <f>D22</f>
        <v xml:space="preserve">Adult </v>
      </c>
      <c r="K16" s="53">
        <f>483473*0.9</f>
        <v>435125.7</v>
      </c>
      <c r="N16" s="7"/>
      <c r="O16" s="7"/>
    </row>
    <row r="17" spans="1:19" ht="42" customHeight="1" thickBot="1" x14ac:dyDescent="0.3">
      <c r="A17" s="1" t="s">
        <v>0</v>
      </c>
      <c r="B17" s="1" t="s">
        <v>1</v>
      </c>
      <c r="C17" s="1" t="s">
        <v>2</v>
      </c>
      <c r="D17" s="1" t="s">
        <v>3</v>
      </c>
      <c r="E17" s="4" t="s">
        <v>12</v>
      </c>
      <c r="F17" s="27" t="s">
        <v>22</v>
      </c>
      <c r="J17" s="18" t="s">
        <v>3</v>
      </c>
      <c r="K17" s="54" t="s">
        <v>19</v>
      </c>
      <c r="L17" s="43" t="str">
        <f>L7</f>
        <v>PY17 &amp; FY18 Orignal</v>
      </c>
      <c r="M17" s="42" t="s">
        <v>82</v>
      </c>
      <c r="N17" s="42" t="s">
        <v>83</v>
      </c>
      <c r="O17" s="42" t="s">
        <v>84</v>
      </c>
      <c r="P17" s="37" t="str">
        <f>P7</f>
        <v>FY18 Estimated</v>
      </c>
      <c r="Q17" s="37" t="str">
        <f>Q7</f>
        <v>FY18 Actual</v>
      </c>
      <c r="R17" s="35" t="s">
        <v>25</v>
      </c>
      <c r="S17" s="43" t="str">
        <f>S7</f>
        <v>PY17 &amp; FY18 Actual</v>
      </c>
    </row>
    <row r="18" spans="1:19" ht="12.75" customHeight="1" x14ac:dyDescent="0.2">
      <c r="A18" s="2" t="s">
        <v>5</v>
      </c>
      <c r="B18" s="2" t="s">
        <v>6</v>
      </c>
      <c r="C18" s="2">
        <v>56</v>
      </c>
      <c r="D18" s="2" t="s">
        <v>7</v>
      </c>
      <c r="E18" s="5">
        <f>'Sara Ballard eml 6-5-18'!G5*0.9</f>
        <v>85049.830273206113</v>
      </c>
      <c r="F18" s="17">
        <f>E18/E$22</f>
        <v>0.67305608344458423</v>
      </c>
      <c r="J18" s="2" t="s">
        <v>7</v>
      </c>
      <c r="K18" s="55">
        <f>'Sara Ballard eml 6-5-18'!G5*0.9</f>
        <v>85049.830273206113</v>
      </c>
      <c r="L18" s="45">
        <v>92168.79</v>
      </c>
      <c r="M18" s="93">
        <f>(L18/L$22)*M$15</f>
        <v>403.31340038813653</v>
      </c>
      <c r="N18" s="93">
        <f>N15</f>
        <v>267.29000000000002</v>
      </c>
      <c r="O18" s="93">
        <f>M18-N18</f>
        <v>136.02340038813651</v>
      </c>
      <c r="P18" s="6">
        <f>K18-E18</f>
        <v>0</v>
      </c>
      <c r="Q18" s="6"/>
      <c r="R18" s="6">
        <f>Q18-P18</f>
        <v>0</v>
      </c>
      <c r="S18" s="45">
        <f>+Q18+E18</f>
        <v>85049.830273206113</v>
      </c>
    </row>
    <row r="19" spans="1:19" ht="12.75" customHeight="1" x14ac:dyDescent="0.2">
      <c r="A19" s="2" t="s">
        <v>5</v>
      </c>
      <c r="B19" s="2" t="s">
        <v>6</v>
      </c>
      <c r="C19" s="2">
        <v>58</v>
      </c>
      <c r="D19" s="2" t="s">
        <v>8</v>
      </c>
      <c r="E19" s="5">
        <v>8724.1299999999992</v>
      </c>
      <c r="F19" s="17">
        <f>E19/E$22</f>
        <v>6.9039864634641679E-2</v>
      </c>
      <c r="J19" s="2" t="s">
        <v>8</v>
      </c>
      <c r="K19" s="55">
        <f>'Sara Ballard eml 6-5-18'!G6*0.9</f>
        <v>70872.657973717927</v>
      </c>
      <c r="L19" s="45">
        <v>68509.820000000007</v>
      </c>
      <c r="M19" s="93">
        <f t="shared" ref="M19:M21" si="5">(L19/L$22)*M$15</f>
        <v>299.78616909454018</v>
      </c>
      <c r="N19" s="93"/>
      <c r="O19" s="93">
        <f t="shared" ref="O19:O21" si="6">M19</f>
        <v>299.78616909454018</v>
      </c>
      <c r="P19" s="6">
        <f>K19-E19</f>
        <v>62148.52797371793</v>
      </c>
      <c r="Q19" s="6"/>
      <c r="R19" s="6">
        <f t="shared" ref="R19:R21" si="7">Q19-P19</f>
        <v>-62148.52797371793</v>
      </c>
      <c r="S19" s="45">
        <f>+Q19+E19</f>
        <v>8724.1299999999992</v>
      </c>
    </row>
    <row r="20" spans="1:19" ht="12.75" customHeight="1" x14ac:dyDescent="0.2">
      <c r="A20" s="2" t="s">
        <v>5</v>
      </c>
      <c r="B20" s="2" t="s">
        <v>6</v>
      </c>
      <c r="C20" s="2">
        <v>61</v>
      </c>
      <c r="D20" s="2" t="s">
        <v>9</v>
      </c>
      <c r="E20" s="5">
        <v>7949.48</v>
      </c>
      <c r="F20" s="17">
        <f>E20/E$22</f>
        <v>6.2909542053567677E-2</v>
      </c>
      <c r="J20" s="2" t="s">
        <v>9</v>
      </c>
      <c r="K20" s="55">
        <f>'Sara Ballard eml 6-5-18'!G7*0.9</f>
        <v>66229.941337932396</v>
      </c>
      <c r="L20" s="45">
        <v>62430.770000000004</v>
      </c>
      <c r="M20" s="93">
        <f t="shared" si="5"/>
        <v>273.18538235719126</v>
      </c>
      <c r="N20" s="93"/>
      <c r="O20" s="93">
        <f t="shared" si="6"/>
        <v>273.18538235719126</v>
      </c>
      <c r="P20" s="6">
        <f>K20-E20</f>
        <v>58280.4613379324</v>
      </c>
      <c r="Q20" s="6"/>
      <c r="R20" s="6">
        <f t="shared" si="7"/>
        <v>-58280.4613379324</v>
      </c>
      <c r="S20" s="45">
        <f>+Q20+E20</f>
        <v>7949.48</v>
      </c>
    </row>
    <row r="21" spans="1:19" ht="12.75" customHeight="1" thickBot="1" x14ac:dyDescent="0.25">
      <c r="A21" s="2" t="s">
        <v>5</v>
      </c>
      <c r="B21" s="2" t="s">
        <v>6</v>
      </c>
      <c r="C21" s="2">
        <v>84</v>
      </c>
      <c r="D21" s="2" t="s">
        <v>10</v>
      </c>
      <c r="E21" s="5">
        <v>24640.22</v>
      </c>
      <c r="F21" s="17">
        <f>E21/E$22</f>
        <v>0.19499450986720634</v>
      </c>
      <c r="J21" s="2" t="s">
        <v>10</v>
      </c>
      <c r="K21" s="55">
        <f>'Sara Ballard eml 6-5-18'!G8*0.9</f>
        <v>230920.48112116518</v>
      </c>
      <c r="L21" s="45">
        <v>193496.62</v>
      </c>
      <c r="M21" s="93">
        <f t="shared" si="5"/>
        <v>846.70504816013215</v>
      </c>
      <c r="N21" s="93"/>
      <c r="O21" s="93">
        <f t="shared" si="6"/>
        <v>846.70504816013215</v>
      </c>
      <c r="P21" s="6">
        <f>K21-E21</f>
        <v>206280.26112116518</v>
      </c>
      <c r="Q21" s="6"/>
      <c r="R21" s="6">
        <f t="shared" si="7"/>
        <v>-206280.26112116518</v>
      </c>
      <c r="S21" s="45">
        <f>+Q21+E21</f>
        <v>24640.22</v>
      </c>
    </row>
    <row r="22" spans="1:19" ht="12.75" customHeight="1" thickBot="1" x14ac:dyDescent="0.25">
      <c r="D22" s="21" t="s">
        <v>16</v>
      </c>
      <c r="E22" s="16">
        <f>SUM(E18:E21)</f>
        <v>126363.66027320611</v>
      </c>
      <c r="F22" s="17">
        <f>E22/E$22</f>
        <v>1</v>
      </c>
      <c r="K22" s="56">
        <f t="shared" ref="K22:P22" si="8">SUM(K18:K21)</f>
        <v>453072.91070602159</v>
      </c>
      <c r="L22" s="45">
        <f t="shared" si="8"/>
        <v>416606</v>
      </c>
      <c r="M22" s="93">
        <f t="shared" si="8"/>
        <v>1822.9900000000002</v>
      </c>
      <c r="N22" s="93">
        <f t="shared" si="8"/>
        <v>267.29000000000002</v>
      </c>
      <c r="O22" s="93">
        <f t="shared" si="8"/>
        <v>1555.7000000000003</v>
      </c>
      <c r="P22" s="58">
        <f t="shared" si="8"/>
        <v>326709.25043281552</v>
      </c>
      <c r="Q22" s="58">
        <f t="shared" ref="Q22:R22" si="9">SUM(Q18:Q21)</f>
        <v>0</v>
      </c>
      <c r="R22" s="58">
        <f t="shared" si="9"/>
        <v>-326709.25043281552</v>
      </c>
      <c r="S22" s="45">
        <f>SUM(S18:S21)</f>
        <v>126363.66027320611</v>
      </c>
    </row>
    <row r="23" spans="1:19" ht="12.75" customHeight="1" x14ac:dyDescent="0.2">
      <c r="D23" s="3"/>
      <c r="E23" s="6">
        <f>+E22+E13</f>
        <v>176705.0947960974</v>
      </c>
      <c r="K23" s="32">
        <f>+K22+K13</f>
        <v>503414.34522891289</v>
      </c>
      <c r="L23" s="13"/>
      <c r="M23" s="13"/>
      <c r="N23" s="13">
        <f>N15-N22</f>
        <v>0</v>
      </c>
      <c r="O23" s="13">
        <f>O15-O22</f>
        <v>0</v>
      </c>
      <c r="P23" s="6">
        <f>K23-E23</f>
        <v>326709.25043281552</v>
      </c>
      <c r="S23" s="13"/>
    </row>
    <row r="24" spans="1:19" ht="12.75" customHeight="1" thickBot="1" x14ac:dyDescent="0.25">
      <c r="K24" s="32"/>
    </row>
    <row r="25" spans="1:19" ht="18.75" customHeight="1" thickBot="1" x14ac:dyDescent="0.3">
      <c r="D25" s="22" t="str">
        <f>D32</f>
        <v xml:space="preserve">DW Adm </v>
      </c>
      <c r="J25" s="7" t="s">
        <v>69</v>
      </c>
      <c r="K25" s="56">
        <f>601187*0.1</f>
        <v>60118.700000000004</v>
      </c>
      <c r="M25" s="95">
        <f>N25+O25</f>
        <v>623.29999999999995</v>
      </c>
      <c r="N25" s="96">
        <v>45.8</v>
      </c>
      <c r="O25" s="96">
        <v>577.5</v>
      </c>
    </row>
    <row r="26" spans="1:19" ht="40.5" customHeight="1" thickBot="1" x14ac:dyDescent="0.3">
      <c r="A26" s="1" t="s">
        <v>0</v>
      </c>
      <c r="B26" s="1" t="s">
        <v>1</v>
      </c>
      <c r="C26" s="1" t="s">
        <v>2</v>
      </c>
      <c r="D26" s="1" t="s">
        <v>3</v>
      </c>
      <c r="E26" s="4" t="s">
        <v>12</v>
      </c>
      <c r="F26" s="27" t="s">
        <v>22</v>
      </c>
      <c r="J26" s="18" t="s">
        <v>3</v>
      </c>
      <c r="K26" s="54" t="s">
        <v>19</v>
      </c>
      <c r="L26" s="43" t="str">
        <f>L7</f>
        <v>PY17 &amp; FY18 Orignal</v>
      </c>
      <c r="M26" s="42" t="s">
        <v>82</v>
      </c>
      <c r="N26" s="97" t="s">
        <v>83</v>
      </c>
      <c r="O26" s="97" t="s">
        <v>84</v>
      </c>
      <c r="P26" s="37" t="str">
        <f>P7</f>
        <v>FY18 Estimated</v>
      </c>
      <c r="Q26" s="37" t="str">
        <f>Q7</f>
        <v>FY18 Actual</v>
      </c>
      <c r="R26" s="35" t="s">
        <v>25</v>
      </c>
      <c r="S26" s="43" t="str">
        <f>S7</f>
        <v>PY17 &amp; FY18 Actual</v>
      </c>
    </row>
    <row r="27" spans="1:19" ht="12.75" customHeight="1" x14ac:dyDescent="0.2">
      <c r="A27" s="2" t="s">
        <v>5</v>
      </c>
      <c r="B27" s="2" t="s">
        <v>6</v>
      </c>
      <c r="C27" s="2">
        <v>56</v>
      </c>
      <c r="D27" s="2" t="s">
        <v>7</v>
      </c>
      <c r="E27" s="5">
        <f>34063*0.04</f>
        <v>1362.52</v>
      </c>
      <c r="F27" s="17">
        <f t="shared" ref="F27:F32" si="10">E27/E$32</f>
        <v>0.14946467749012723</v>
      </c>
      <c r="J27" s="2" t="s">
        <v>7</v>
      </c>
      <c r="K27" s="55">
        <f>'Sara Ballard eml 6-5-18'!Q5*0.04</f>
        <v>7554.1480692834621</v>
      </c>
      <c r="L27" s="45">
        <v>8622.4279999999999</v>
      </c>
      <c r="M27" s="93">
        <f>(L27/L$32)*M$25</f>
        <v>93.170593977428339</v>
      </c>
      <c r="N27" s="94"/>
      <c r="O27" s="94">
        <f>M27</f>
        <v>93.170593977428339</v>
      </c>
      <c r="P27" s="6">
        <f>K27-E27</f>
        <v>6191.6280692834625</v>
      </c>
      <c r="Q27" s="6"/>
      <c r="R27" s="6">
        <f>Q27-P27</f>
        <v>-6191.6280692834625</v>
      </c>
      <c r="S27" s="45">
        <f>+Q27+E27</f>
        <v>1362.52</v>
      </c>
    </row>
    <row r="28" spans="1:19" ht="12.75" customHeight="1" x14ac:dyDescent="0.2">
      <c r="A28" s="2" t="s">
        <v>5</v>
      </c>
      <c r="B28" s="2" t="s">
        <v>6</v>
      </c>
      <c r="C28" s="2">
        <v>58</v>
      </c>
      <c r="D28" s="2" t="s">
        <v>8</v>
      </c>
      <c r="E28" s="5">
        <f>14585*0.04</f>
        <v>583.4</v>
      </c>
      <c r="F28" s="17">
        <f t="shared" si="10"/>
        <v>6.399736726634489E-2</v>
      </c>
      <c r="J28" s="2" t="s">
        <v>8</v>
      </c>
      <c r="K28" s="55">
        <f>'Sara Ballard eml 6-5-18'!Q6*0.04</f>
        <v>3908.0299431410194</v>
      </c>
      <c r="L28" s="45">
        <v>3691.6480000000001</v>
      </c>
      <c r="M28" s="93">
        <f t="shared" ref="M28:M31" si="11">(L28/L$32)*M$25</f>
        <v>39.890508440961803</v>
      </c>
      <c r="N28" s="94"/>
      <c r="O28" s="94">
        <f t="shared" ref="O28:O30" si="12">M28</f>
        <v>39.890508440961803</v>
      </c>
      <c r="P28" s="6">
        <f>K28-E28</f>
        <v>3324.6299431410193</v>
      </c>
      <c r="Q28" s="6"/>
      <c r="R28" s="6">
        <f t="shared" ref="R28:R32" si="13">Q28-P28</f>
        <v>-3324.6299431410193</v>
      </c>
      <c r="S28" s="45">
        <f>+Q28+E28</f>
        <v>583.4</v>
      </c>
    </row>
    <row r="29" spans="1:19" ht="12.75" customHeight="1" x14ac:dyDescent="0.2">
      <c r="A29" s="2" t="s">
        <v>5</v>
      </c>
      <c r="B29" s="2" t="s">
        <v>6</v>
      </c>
      <c r="C29" s="2">
        <v>61</v>
      </c>
      <c r="D29" s="2" t="s">
        <v>9</v>
      </c>
      <c r="E29" s="5">
        <f>12074*0.04</f>
        <v>482.96000000000004</v>
      </c>
      <c r="F29" s="17">
        <f t="shared" si="10"/>
        <v>5.2979376919701629E-2</v>
      </c>
      <c r="J29" s="2" t="s">
        <v>9</v>
      </c>
      <c r="K29" s="55">
        <f>'Sara Ballard eml 6-5-18'!Q7*0.04</f>
        <v>3338.778648922264</v>
      </c>
      <c r="L29" s="45">
        <v>3056.2640000000001</v>
      </c>
      <c r="M29" s="93">
        <f t="shared" si="11"/>
        <v>33.024796754676416</v>
      </c>
      <c r="N29" s="94"/>
      <c r="O29" s="94">
        <f t="shared" si="12"/>
        <v>33.024796754676416</v>
      </c>
      <c r="P29" s="6">
        <f>K29-E29</f>
        <v>2855.8186489222639</v>
      </c>
      <c r="Q29" s="6"/>
      <c r="R29" s="6">
        <f t="shared" si="13"/>
        <v>-2855.8186489222639</v>
      </c>
      <c r="S29" s="45">
        <f>+Q29+E29</f>
        <v>482.96000000000004</v>
      </c>
    </row>
    <row r="30" spans="1:19" ht="12.75" customHeight="1" x14ac:dyDescent="0.2">
      <c r="A30" s="2" t="s">
        <v>5</v>
      </c>
      <c r="B30" s="2" t="s">
        <v>6</v>
      </c>
      <c r="C30" s="2">
        <v>84</v>
      </c>
      <c r="D30" s="2" t="s">
        <v>10</v>
      </c>
      <c r="E30" s="5">
        <f>30429*0.04</f>
        <v>1217.1600000000001</v>
      </c>
      <c r="F30" s="17">
        <f t="shared" si="10"/>
        <v>0.13351908731899956</v>
      </c>
      <c r="J30" s="2" t="s">
        <v>10</v>
      </c>
      <c r="K30" s="55">
        <f>'Sara Ballard eml 6-5-18'!Q8*0.04</f>
        <v>9824.8361513837026</v>
      </c>
      <c r="L30" s="45">
        <v>7702.5</v>
      </c>
      <c r="M30" s="93">
        <f t="shared" si="11"/>
        <v>83.230210807343582</v>
      </c>
      <c r="N30" s="94"/>
      <c r="O30" s="94">
        <f t="shared" si="12"/>
        <v>83.230210807343582</v>
      </c>
      <c r="P30" s="6">
        <f>K30-E30</f>
        <v>8607.6761513837027</v>
      </c>
      <c r="Q30" s="6"/>
      <c r="R30" s="6">
        <f t="shared" si="13"/>
        <v>-8607.6761513837027</v>
      </c>
      <c r="S30" s="45">
        <f>+Q30+E30</f>
        <v>1217.1600000000001</v>
      </c>
    </row>
    <row r="31" spans="1:19" ht="12.75" customHeight="1" thickBot="1" x14ac:dyDescent="0.25">
      <c r="A31" s="3"/>
      <c r="B31" s="3"/>
      <c r="C31" s="3"/>
      <c r="D31" s="2" t="s">
        <v>11</v>
      </c>
      <c r="E31" s="5">
        <f>(91151*0.06)+0.9</f>
        <v>5469.9599999999991</v>
      </c>
      <c r="F31" s="17">
        <f t="shared" si="10"/>
        <v>0.60003949100482656</v>
      </c>
      <c r="J31" s="2" t="s">
        <v>11</v>
      </c>
      <c r="K31" s="55">
        <f>'Sara Ballard eml 6-5-18'!Q9*0.06</f>
        <v>36938.689219095671</v>
      </c>
      <c r="L31" s="45">
        <v>34610.160000000003</v>
      </c>
      <c r="M31" s="93">
        <f t="shared" si="11"/>
        <v>373.98389001958981</v>
      </c>
      <c r="N31" s="94">
        <f>N25</f>
        <v>45.8</v>
      </c>
      <c r="O31" s="94">
        <f>M31-N31</f>
        <v>328.1838900195898</v>
      </c>
      <c r="P31" s="6">
        <f>K31-E31</f>
        <v>31468.729219095672</v>
      </c>
      <c r="Q31" s="6"/>
      <c r="R31" s="6">
        <f t="shared" si="13"/>
        <v>-31468.729219095672</v>
      </c>
      <c r="S31" s="45">
        <f>+Q31+E31</f>
        <v>5469.9599999999991</v>
      </c>
    </row>
    <row r="32" spans="1:19" ht="12.75" customHeight="1" thickBot="1" x14ac:dyDescent="0.25">
      <c r="D32" s="21" t="s">
        <v>17</v>
      </c>
      <c r="E32" s="16">
        <f>SUM(E27:E31)</f>
        <v>9116</v>
      </c>
      <c r="F32" s="17">
        <f t="shared" si="10"/>
        <v>1</v>
      </c>
      <c r="K32" s="56">
        <f>SUM(K27:K31)</f>
        <v>61564.482031826119</v>
      </c>
      <c r="L32" s="45">
        <f>SUM(L27:L31)</f>
        <v>57683</v>
      </c>
      <c r="M32" s="94">
        <f>SUM(M27:M31)</f>
        <v>623.29999999999995</v>
      </c>
      <c r="N32" s="94">
        <f>SUM(N27:N31)</f>
        <v>45.8</v>
      </c>
      <c r="O32" s="94">
        <f>SUM(O27:O31)</f>
        <v>577.49999999999989</v>
      </c>
      <c r="P32" s="34">
        <f t="shared" ref="P32:Q32" si="14">SUM(P27:P31)</f>
        <v>52448.482031826119</v>
      </c>
      <c r="Q32" s="34">
        <f t="shared" si="14"/>
        <v>0</v>
      </c>
      <c r="R32" s="34">
        <f t="shared" si="13"/>
        <v>-52448.482031826119</v>
      </c>
      <c r="S32" s="45">
        <f>SUM(S27:S31)</f>
        <v>9116</v>
      </c>
    </row>
    <row r="33" spans="1:19" ht="12.75" customHeight="1" x14ac:dyDescent="0.2">
      <c r="D33" s="3"/>
      <c r="K33" s="32"/>
      <c r="M33" s="13"/>
      <c r="N33" s="98">
        <f>N25-N32</f>
        <v>0</v>
      </c>
      <c r="O33" s="98">
        <f>O25-O32</f>
        <v>0</v>
      </c>
      <c r="S33" s="61"/>
    </row>
    <row r="34" spans="1:19" ht="12.75" customHeight="1" thickBot="1" x14ac:dyDescent="0.25">
      <c r="D34" s="3"/>
      <c r="K34" s="32"/>
      <c r="M34" s="13"/>
      <c r="N34" s="13"/>
      <c r="O34" s="13"/>
    </row>
    <row r="35" spans="1:19" ht="18" customHeight="1" thickBot="1" x14ac:dyDescent="0.3">
      <c r="D35" s="22" t="str">
        <f>D41</f>
        <v xml:space="preserve">DW </v>
      </c>
      <c r="J35" s="7" t="s">
        <v>18</v>
      </c>
      <c r="K35" s="56">
        <f>601187*0.9</f>
        <v>541068.30000000005</v>
      </c>
      <c r="M35">
        <f>N35+O35</f>
        <v>2283.61</v>
      </c>
      <c r="N35">
        <v>412.21</v>
      </c>
      <c r="O35">
        <v>1871.4</v>
      </c>
    </row>
    <row r="36" spans="1:19" ht="40.5" customHeight="1" thickBot="1" x14ac:dyDescent="0.3">
      <c r="A36" s="1" t="s">
        <v>0</v>
      </c>
      <c r="B36" s="1" t="s">
        <v>1</v>
      </c>
      <c r="C36" s="1" t="s">
        <v>2</v>
      </c>
      <c r="D36" s="1" t="s">
        <v>3</v>
      </c>
      <c r="E36" s="4" t="s">
        <v>12</v>
      </c>
      <c r="F36" s="27" t="s">
        <v>22</v>
      </c>
      <c r="J36" s="18" t="s">
        <v>3</v>
      </c>
      <c r="K36" s="54" t="s">
        <v>19</v>
      </c>
      <c r="L36" s="43" t="str">
        <f>L7</f>
        <v>PY17 &amp; FY18 Orignal</v>
      </c>
      <c r="M36" s="42" t="s">
        <v>82</v>
      </c>
      <c r="N36" s="42" t="s">
        <v>83</v>
      </c>
      <c r="O36" s="42" t="s">
        <v>84</v>
      </c>
      <c r="P36" s="37" t="str">
        <f>P7</f>
        <v>FY18 Estimated</v>
      </c>
      <c r="Q36" s="37" t="str">
        <f>Q17</f>
        <v>FY18 Actual</v>
      </c>
      <c r="R36" s="35" t="s">
        <v>25</v>
      </c>
      <c r="S36" s="43" t="str">
        <f>S7</f>
        <v>PY17 &amp; FY18 Actual</v>
      </c>
    </row>
    <row r="37" spans="1:19" ht="12.75" customHeight="1" x14ac:dyDescent="0.2">
      <c r="A37" s="2" t="s">
        <v>5</v>
      </c>
      <c r="B37" s="2" t="s">
        <v>6</v>
      </c>
      <c r="C37" s="2">
        <v>56</v>
      </c>
      <c r="D37" s="2" t="s">
        <v>7</v>
      </c>
      <c r="E37" s="5">
        <v>30657.51</v>
      </c>
      <c r="F37" s="17">
        <f>E37/E$41</f>
        <v>0.37371256171146461</v>
      </c>
      <c r="J37" s="2" t="s">
        <v>7</v>
      </c>
      <c r="K37" s="55">
        <f>'Sara Ballard eml 6-5-18'!Q5*0.9</f>
        <v>169968.33155887789</v>
      </c>
      <c r="L37" s="45">
        <v>194000.71000000002</v>
      </c>
      <c r="M37" s="93">
        <f>(L37/L$41)*M$35</f>
        <v>853.3947465140651</v>
      </c>
      <c r="N37" s="93">
        <f>N35</f>
        <v>412.21</v>
      </c>
      <c r="O37" s="93">
        <f>M37-N37</f>
        <v>441.18474651406513</v>
      </c>
      <c r="P37" s="6">
        <f t="shared" ref="P37:P42" si="15">K37-E37</f>
        <v>139310.82155887788</v>
      </c>
      <c r="Q37" s="6"/>
      <c r="R37" s="6">
        <f>Q37-P37</f>
        <v>-139310.82155887788</v>
      </c>
      <c r="S37" s="45">
        <f>+Q37+E37</f>
        <v>30657.51</v>
      </c>
    </row>
    <row r="38" spans="1:19" ht="12.75" customHeight="1" x14ac:dyDescent="0.2">
      <c r="A38" s="2" t="s">
        <v>5</v>
      </c>
      <c r="B38" s="2" t="s">
        <v>6</v>
      </c>
      <c r="C38" s="2">
        <v>58</v>
      </c>
      <c r="D38" s="2" t="s">
        <v>8</v>
      </c>
      <c r="E38" s="5">
        <v>13125.43</v>
      </c>
      <c r="F38" s="17">
        <f>E38/E$41</f>
        <v>0.15999792771378071</v>
      </c>
      <c r="J38" s="2" t="s">
        <v>8</v>
      </c>
      <c r="K38" s="55">
        <f>'Sara Ballard eml 6-5-18'!Q6*0.9</f>
        <v>87930.67372067293</v>
      </c>
      <c r="L38" s="45">
        <v>83063.359999999986</v>
      </c>
      <c r="M38" s="93">
        <f t="shared" ref="M38:M40" si="16">(L38/L$41)*M$35</f>
        <v>365.38956507842943</v>
      </c>
      <c r="N38" s="93"/>
      <c r="O38" s="93">
        <f t="shared" ref="O38:O40" si="17">M38</f>
        <v>365.38956507842943</v>
      </c>
      <c r="P38" s="6">
        <f t="shared" si="15"/>
        <v>74805.243720672937</v>
      </c>
      <c r="Q38" s="6"/>
      <c r="R38" s="6">
        <f t="shared" ref="R38:R40" si="18">Q38-P38</f>
        <v>-74805.243720672937</v>
      </c>
      <c r="S38" s="45">
        <f>+Q38+E38</f>
        <v>13125.43</v>
      </c>
    </row>
    <row r="39" spans="1:19" ht="12.75" customHeight="1" x14ac:dyDescent="0.2">
      <c r="A39" s="2" t="s">
        <v>5</v>
      </c>
      <c r="B39" s="2" t="s">
        <v>6</v>
      </c>
      <c r="C39" s="2">
        <v>61</v>
      </c>
      <c r="D39" s="2" t="s">
        <v>9</v>
      </c>
      <c r="E39" s="5">
        <v>10866.66</v>
      </c>
      <c r="F39" s="17">
        <f>E39/E$41</f>
        <v>0.13246370451636497</v>
      </c>
      <c r="J39" s="2" t="s">
        <v>9</v>
      </c>
      <c r="K39" s="55">
        <f>'Sara Ballard eml 6-5-18'!Q7*0.9</f>
        <v>75122.519600750951</v>
      </c>
      <c r="L39" s="45">
        <v>68763.22</v>
      </c>
      <c r="M39" s="93">
        <f t="shared" si="16"/>
        <v>302.48430895634806</v>
      </c>
      <c r="N39" s="93"/>
      <c r="O39" s="93">
        <f t="shared" si="17"/>
        <v>302.48430895634806</v>
      </c>
      <c r="P39" s="6">
        <f t="shared" si="15"/>
        <v>64255.859600750948</v>
      </c>
      <c r="Q39" s="6"/>
      <c r="R39" s="6">
        <f t="shared" si="18"/>
        <v>-64255.859600750948</v>
      </c>
      <c r="S39" s="45">
        <f>+Q39+E39</f>
        <v>10866.66</v>
      </c>
    </row>
    <row r="40" spans="1:19" ht="12.75" customHeight="1" thickBot="1" x14ac:dyDescent="0.25">
      <c r="A40" s="2" t="s">
        <v>5</v>
      </c>
      <c r="B40" s="2" t="s">
        <v>6</v>
      </c>
      <c r="C40" s="2">
        <v>84</v>
      </c>
      <c r="D40" s="2" t="s">
        <v>10</v>
      </c>
      <c r="E40" s="5">
        <v>27385.4</v>
      </c>
      <c r="F40" s="17">
        <f>E40/E$41</f>
        <v>0.33382580605838974</v>
      </c>
      <c r="J40" s="2" t="s">
        <v>10</v>
      </c>
      <c r="K40" s="55">
        <f>'Sara Ballard eml 6-5-18'!Q8*0.9</f>
        <v>221058.8134061333</v>
      </c>
      <c r="L40" s="45">
        <v>173301.71</v>
      </c>
      <c r="M40" s="93">
        <f t="shared" si="16"/>
        <v>762.34137945115765</v>
      </c>
      <c r="N40" s="93"/>
      <c r="O40" s="93">
        <f t="shared" si="17"/>
        <v>762.34137945115765</v>
      </c>
      <c r="P40" s="6">
        <f t="shared" si="15"/>
        <v>193673.4134061333</v>
      </c>
      <c r="Q40" s="6"/>
      <c r="R40" s="6">
        <f t="shared" si="18"/>
        <v>-193673.4134061333</v>
      </c>
      <c r="S40" s="45">
        <f>+Q40+E40</f>
        <v>27385.4</v>
      </c>
    </row>
    <row r="41" spans="1:19" ht="12.75" customHeight="1" thickBot="1" x14ac:dyDescent="0.25">
      <c r="D41" s="21" t="s">
        <v>18</v>
      </c>
      <c r="E41" s="16">
        <f>SUM(E37:E40)</f>
        <v>82035</v>
      </c>
      <c r="F41" s="17">
        <f>E41/E$41</f>
        <v>1</v>
      </c>
      <c r="K41" s="57">
        <f>SUM(K37:K40)</f>
        <v>554080.33828643512</v>
      </c>
      <c r="L41" s="45">
        <f>SUM(L37:L40)</f>
        <v>519129</v>
      </c>
      <c r="M41" s="93">
        <f>SUM(M37:M40)</f>
        <v>2283.61</v>
      </c>
      <c r="N41" s="93">
        <f>SUM(N37:N40)</f>
        <v>412.21</v>
      </c>
      <c r="O41" s="93">
        <f>SUM(O37:O40)</f>
        <v>1871.4</v>
      </c>
      <c r="P41" s="34">
        <f t="shared" si="15"/>
        <v>472045.33828643512</v>
      </c>
      <c r="Q41" s="34">
        <f>SUM(Q37:Q40)</f>
        <v>0</v>
      </c>
      <c r="R41" s="34">
        <f t="shared" ref="R41" si="19">SUM(R37:R40)</f>
        <v>-472045.33828643506</v>
      </c>
      <c r="S41" s="45">
        <f>SUM(S37:S40)</f>
        <v>82035</v>
      </c>
    </row>
    <row r="42" spans="1:19" ht="12.75" customHeight="1" x14ac:dyDescent="0.2">
      <c r="D42" s="3"/>
      <c r="E42" s="6">
        <f>E41+E32</f>
        <v>91151</v>
      </c>
      <c r="K42" s="32">
        <f>+K32+K41</f>
        <v>615644.82031826128</v>
      </c>
      <c r="L42" s="13"/>
      <c r="M42" s="13"/>
      <c r="N42" s="13">
        <f>N35-N41</f>
        <v>0</v>
      </c>
      <c r="O42" s="13">
        <f>O35-O41</f>
        <v>0</v>
      </c>
      <c r="P42" s="6">
        <f t="shared" si="15"/>
        <v>524493.82031826128</v>
      </c>
      <c r="S42" s="13"/>
    </row>
    <row r="43" spans="1:19" ht="12.75" customHeight="1" x14ac:dyDescent="0.2">
      <c r="D43" s="23" t="s">
        <v>29</v>
      </c>
      <c r="E43" s="3"/>
      <c r="F43"/>
      <c r="K43" s="32"/>
    </row>
    <row r="44" spans="1:19" ht="12.75" hidden="1" customHeight="1" x14ac:dyDescent="0.2">
      <c r="D44" t="s">
        <v>14</v>
      </c>
      <c r="E44"/>
      <c r="F44"/>
      <c r="K44" s="32"/>
    </row>
    <row r="45" spans="1:19" ht="12.75" hidden="1" customHeight="1" x14ac:dyDescent="0.2">
      <c r="A45" s="1" t="s">
        <v>0</v>
      </c>
      <c r="B45" s="1" t="s">
        <v>1</v>
      </c>
      <c r="C45" s="1" t="s">
        <v>2</v>
      </c>
      <c r="E45"/>
      <c r="F45"/>
      <c r="K45" s="32"/>
    </row>
    <row r="46" spans="1:19" ht="17.25" customHeight="1" x14ac:dyDescent="0.25">
      <c r="A46" s="2" t="s">
        <v>5</v>
      </c>
      <c r="B46" s="2" t="s">
        <v>6</v>
      </c>
      <c r="C46" s="2">
        <v>56</v>
      </c>
      <c r="D46" t="str">
        <f>D53</f>
        <v xml:space="preserve">Youth Adm </v>
      </c>
      <c r="F46"/>
      <c r="J46" s="7" t="s">
        <v>70</v>
      </c>
      <c r="K46" s="32"/>
      <c r="M46">
        <v>241.64</v>
      </c>
    </row>
    <row r="47" spans="1:19" ht="12.75" customHeight="1" x14ac:dyDescent="0.2">
      <c r="A47" s="2" t="s">
        <v>5</v>
      </c>
      <c r="B47" s="2" t="s">
        <v>6</v>
      </c>
      <c r="C47" s="2">
        <v>58</v>
      </c>
      <c r="D47" s="1" t="s">
        <v>3</v>
      </c>
      <c r="E47" s="4" t="s">
        <v>12</v>
      </c>
      <c r="F47"/>
      <c r="J47" s="18" t="s">
        <v>3</v>
      </c>
      <c r="K47" s="51" t="s">
        <v>46</v>
      </c>
      <c r="L47" s="51" t="s">
        <v>43</v>
      </c>
      <c r="M47" s="42" t="s">
        <v>82</v>
      </c>
    </row>
    <row r="48" spans="1:19" ht="12.75" customHeight="1" x14ac:dyDescent="0.2">
      <c r="A48" s="2" t="s">
        <v>5</v>
      </c>
      <c r="B48" s="2" t="s">
        <v>6</v>
      </c>
      <c r="C48" s="2">
        <v>61</v>
      </c>
      <c r="D48" s="2" t="s">
        <v>7</v>
      </c>
      <c r="E48" s="5">
        <f>106335*0.04</f>
        <v>4253.3999999999996</v>
      </c>
      <c r="F48"/>
      <c r="J48" s="2" t="s">
        <v>7</v>
      </c>
      <c r="K48" s="30">
        <f>'Sara Ballard eml 6-5-18'!L5*0.04</f>
        <v>3853.2622609954697</v>
      </c>
      <c r="L48" s="30">
        <v>4253.3999999999996</v>
      </c>
      <c r="M48" s="93">
        <f>(L48/L$53)*M$46</f>
        <v>21.76187461093819</v>
      </c>
      <c r="O48" s="61"/>
    </row>
    <row r="49" spans="1:15" ht="12.75" customHeight="1" x14ac:dyDescent="0.2">
      <c r="A49" s="2" t="s">
        <v>5</v>
      </c>
      <c r="B49" s="2" t="s">
        <v>6</v>
      </c>
      <c r="C49" s="2">
        <v>84</v>
      </c>
      <c r="D49" s="2" t="s">
        <v>8</v>
      </c>
      <c r="E49" s="5">
        <f>78693*0.04</f>
        <v>3147.7200000000003</v>
      </c>
      <c r="F49"/>
      <c r="J49" s="2" t="s">
        <v>8</v>
      </c>
      <c r="K49" s="30">
        <f>'Sara Ballard eml 6-5-18'!L6*0.04</f>
        <v>3248.1932610225649</v>
      </c>
      <c r="L49" s="30">
        <v>3147.7200000000003</v>
      </c>
      <c r="M49" s="93">
        <f t="shared" ref="M49:M52" si="20">(L49/L$53)*M$46</f>
        <v>16.104830947087596</v>
      </c>
      <c r="N49" s="61"/>
      <c r="O49" s="61"/>
    </row>
    <row r="50" spans="1:15" ht="12.75" customHeight="1" x14ac:dyDescent="0.2">
      <c r="A50" s="3"/>
      <c r="B50" s="3"/>
      <c r="C50" s="3"/>
      <c r="D50" s="2" t="s">
        <v>9</v>
      </c>
      <c r="E50" s="5">
        <f>64177*0.04</f>
        <v>2567.08</v>
      </c>
      <c r="F50"/>
      <c r="J50" s="2" t="s">
        <v>9</v>
      </c>
      <c r="K50" s="30">
        <f>'Sara Ballard eml 6-5-18'!L7*0.04</f>
        <v>2636.2756834755978</v>
      </c>
      <c r="L50" s="30">
        <v>2567.08</v>
      </c>
      <c r="M50" s="93">
        <f t="shared" si="20"/>
        <v>13.134074640580998</v>
      </c>
      <c r="N50" s="61"/>
      <c r="O50" s="61"/>
    </row>
    <row r="51" spans="1:15" ht="12.75" customHeight="1" x14ac:dyDescent="0.2">
      <c r="D51" s="2" t="s">
        <v>10</v>
      </c>
      <c r="E51" s="5">
        <f>223089*0.04</f>
        <v>8923.56</v>
      </c>
      <c r="F51"/>
      <c r="J51" s="2" t="s">
        <v>10</v>
      </c>
      <c r="K51" s="30">
        <f>'Sara Ballard eml 6-5-18'!L8*0.04</f>
        <v>10775.808739940587</v>
      </c>
      <c r="L51" s="30">
        <v>8923.56</v>
      </c>
      <c r="M51" s="93">
        <f t="shared" si="20"/>
        <v>45.656038417074249</v>
      </c>
      <c r="N51" s="61"/>
      <c r="O51" s="61"/>
    </row>
    <row r="52" spans="1:15" ht="12.75" customHeight="1" thickBot="1" x14ac:dyDescent="0.25">
      <c r="D52" s="2" t="s">
        <v>11</v>
      </c>
      <c r="E52" s="5">
        <f>(472294*0.06)-0.4</f>
        <v>28337.239999999998</v>
      </c>
      <c r="F52"/>
      <c r="J52" s="2" t="s">
        <v>11</v>
      </c>
      <c r="K52" s="30">
        <f>'Sara Ballard eml 6-5-18'!L9*0.06</f>
        <v>30770.309918151328</v>
      </c>
      <c r="L52" s="30">
        <v>28337.239999999998</v>
      </c>
      <c r="M52" s="93">
        <f t="shared" si="20"/>
        <v>144.98318138431893</v>
      </c>
      <c r="N52" s="61">
        <f>M52+M31+M12</f>
        <v>824.83127395743099</v>
      </c>
      <c r="O52" s="61" t="s">
        <v>86</v>
      </c>
    </row>
    <row r="53" spans="1:15" ht="12.75" customHeight="1" thickBot="1" x14ac:dyDescent="0.25">
      <c r="D53" s="3" t="s">
        <v>27</v>
      </c>
      <c r="E53" s="10">
        <f>SUM(E48:E52)</f>
        <v>47229</v>
      </c>
      <c r="F53"/>
      <c r="K53" s="57">
        <f>SUM(K48:K52)</f>
        <v>51283.84986358555</v>
      </c>
      <c r="L53" s="57">
        <f>SUM(L48:L52)</f>
        <v>47229</v>
      </c>
      <c r="M53" s="94">
        <f>SUM(M48:M52)</f>
        <v>241.63999999999996</v>
      </c>
    </row>
    <row r="54" spans="1:15" ht="12.75" customHeight="1" x14ac:dyDescent="0.2">
      <c r="D54" s="3"/>
      <c r="F54"/>
      <c r="K54" s="32"/>
      <c r="L54" s="32"/>
    </row>
    <row r="55" spans="1:15" ht="12.75" customHeight="1" x14ac:dyDescent="0.2">
      <c r="A55" s="1" t="s">
        <v>0</v>
      </c>
      <c r="B55" s="1" t="s">
        <v>1</v>
      </c>
      <c r="C55" s="1" t="s">
        <v>2</v>
      </c>
      <c r="D55" s="3"/>
      <c r="F55"/>
      <c r="K55" s="32"/>
      <c r="L55" s="32"/>
    </row>
    <row r="56" spans="1:15" ht="12.75" customHeight="1" x14ac:dyDescent="0.25">
      <c r="A56" s="2" t="s">
        <v>5</v>
      </c>
      <c r="B56" s="2" t="s">
        <v>6</v>
      </c>
      <c r="C56" s="2">
        <v>56</v>
      </c>
      <c r="D56" t="str">
        <f>D62</f>
        <v>Youth Program</v>
      </c>
      <c r="F56"/>
      <c r="J56" s="7" t="s">
        <v>71</v>
      </c>
      <c r="K56" s="32"/>
      <c r="L56" s="32"/>
      <c r="M56">
        <v>2174.7800000000002</v>
      </c>
    </row>
    <row r="57" spans="1:15" ht="12.75" customHeight="1" x14ac:dyDescent="0.2">
      <c r="A57" s="2" t="s">
        <v>5</v>
      </c>
      <c r="B57" s="2" t="s">
        <v>6</v>
      </c>
      <c r="C57" s="2">
        <v>58</v>
      </c>
      <c r="D57" s="1" t="s">
        <v>3</v>
      </c>
      <c r="E57" s="4" t="s">
        <v>4</v>
      </c>
      <c r="F57"/>
      <c r="G57" s="23" t="s">
        <v>45</v>
      </c>
      <c r="J57" s="18" t="s">
        <v>3</v>
      </c>
      <c r="K57" s="51" t="str">
        <f>K47</f>
        <v>PY18 Final</v>
      </c>
      <c r="L57" s="51" t="str">
        <f>L47</f>
        <v>PY17 Final</v>
      </c>
      <c r="M57" s="42" t="s">
        <v>82</v>
      </c>
    </row>
    <row r="58" spans="1:15" ht="12.75" customHeight="1" x14ac:dyDescent="0.2">
      <c r="A58" s="2" t="s">
        <v>5</v>
      </c>
      <c r="B58" s="2" t="s">
        <v>6</v>
      </c>
      <c r="C58" s="2">
        <v>61</v>
      </c>
      <c r="D58" s="2" t="s">
        <v>7</v>
      </c>
      <c r="E58" s="5">
        <v>95701.39</v>
      </c>
      <c r="F58"/>
      <c r="G58" s="59" t="s">
        <v>44</v>
      </c>
      <c r="J58" s="2" t="s">
        <v>7</v>
      </c>
      <c r="K58" s="30">
        <f>'Sara Ballard eml 6-5-18'!L5*0.9</f>
        <v>86698.400872398066</v>
      </c>
      <c r="L58" s="30">
        <v>95701.39</v>
      </c>
      <c r="M58" s="93">
        <f>(L58/L$62)*M$56</f>
        <v>489.64266309120512</v>
      </c>
    </row>
    <row r="59" spans="1:15" ht="12.75" customHeight="1" x14ac:dyDescent="0.2">
      <c r="A59" s="2" t="s">
        <v>5</v>
      </c>
      <c r="B59" s="2" t="s">
        <v>6</v>
      </c>
      <c r="C59" s="2">
        <v>84</v>
      </c>
      <c r="D59" s="2" t="s">
        <v>8</v>
      </c>
      <c r="E59" s="5">
        <v>70823.56</v>
      </c>
      <c r="F59"/>
      <c r="J59" s="2" t="s">
        <v>8</v>
      </c>
      <c r="K59" s="30">
        <f>'Sara Ballard eml 6-5-18'!L6*0.9</f>
        <v>73084.348373007713</v>
      </c>
      <c r="L59" s="30">
        <v>70823.56</v>
      </c>
      <c r="M59" s="93">
        <f t="shared" ref="M59:M61" si="21">(L59/L$62)*M$56</f>
        <v>362.35875495643012</v>
      </c>
    </row>
    <row r="60" spans="1:15" ht="12.75" customHeight="1" x14ac:dyDescent="0.2">
      <c r="D60" s="2" t="s">
        <v>9</v>
      </c>
      <c r="E60" s="5">
        <v>57759.56</v>
      </c>
      <c r="F60"/>
      <c r="J60" s="2" t="s">
        <v>9</v>
      </c>
      <c r="K60" s="30">
        <f>'Sara Ballard eml 6-5-18'!L7*0.9</f>
        <v>59316.202878200951</v>
      </c>
      <c r="L60" s="30">
        <v>57759.56</v>
      </c>
      <c r="M60" s="93">
        <f t="shared" si="21"/>
        <v>295.51864165584482</v>
      </c>
    </row>
    <row r="61" spans="1:15" ht="13.5" thickBot="1" x14ac:dyDescent="0.25">
      <c r="D61" s="2" t="s">
        <v>10</v>
      </c>
      <c r="E61" s="5">
        <v>200779.49</v>
      </c>
      <c r="F61"/>
      <c r="J61" s="2" t="s">
        <v>10</v>
      </c>
      <c r="K61" s="30">
        <f>'Sara Ballard eml 6-5-18'!L8*0.9</f>
        <v>242455.6966486632</v>
      </c>
      <c r="L61" s="30">
        <v>200779.49</v>
      </c>
      <c r="M61" s="93">
        <f t="shared" si="21"/>
        <v>1027.25994029652</v>
      </c>
    </row>
    <row r="62" spans="1:15" ht="13.5" thickBot="1" x14ac:dyDescent="0.25">
      <c r="D62" s="3" t="s">
        <v>28</v>
      </c>
      <c r="E62" s="10">
        <f>SUM(E58:E61)</f>
        <v>425064</v>
      </c>
      <c r="F62"/>
      <c r="K62" s="57">
        <f>SUM(K58:K61)</f>
        <v>461554.64877226995</v>
      </c>
      <c r="L62" s="57">
        <f>SUM(L58:L61)</f>
        <v>425064</v>
      </c>
      <c r="M62" s="93">
        <f>SUM(M58:M61)</f>
        <v>2174.7799999999997</v>
      </c>
    </row>
    <row r="63" spans="1:15" x14ac:dyDescent="0.2">
      <c r="E63" s="6">
        <f>+E62+E53</f>
        <v>472293</v>
      </c>
      <c r="K63" s="32">
        <f>+K62+K53</f>
        <v>512838.4986358555</v>
      </c>
      <c r="L63" s="32">
        <f>+L62+L53</f>
        <v>472293</v>
      </c>
      <c r="M63" s="13"/>
    </row>
    <row r="64" spans="1:15" x14ac:dyDescent="0.2">
      <c r="J64" s="23" t="s">
        <v>26</v>
      </c>
      <c r="K64" s="13">
        <f>K13+K22+K32+K41+K53+K62</f>
        <v>1631897.6641830297</v>
      </c>
      <c r="L64" s="13">
        <f>L13+L22+L32+L41+L53+L62</f>
        <v>1512000</v>
      </c>
      <c r="M64" s="61">
        <f>M13+M22+M32+M41+M53+M62</f>
        <v>7656.09</v>
      </c>
    </row>
    <row r="65" spans="11:12" x14ac:dyDescent="0.2">
      <c r="K65" s="38"/>
      <c r="L65" s="38"/>
    </row>
  </sheetData>
  <mergeCells count="1">
    <mergeCell ref="N1:O1"/>
  </mergeCells>
  <pageMargins left="0.75" right="0.75" top="1" bottom="1" header="0.5" footer="0.5"/>
  <pageSetup scale="72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76451-86F4-450A-8BB1-BBD652AB2724}">
  <sheetPr>
    <pageSetUpPr fitToPage="1"/>
  </sheetPr>
  <dimension ref="B1:W74"/>
  <sheetViews>
    <sheetView topLeftCell="A37" zoomScale="118" zoomScaleNormal="118" workbookViewId="0">
      <selection activeCell="S51" sqref="S51"/>
    </sheetView>
  </sheetViews>
  <sheetFormatPr defaultColWidth="9.140625" defaultRowHeight="12.75" x14ac:dyDescent="0.2"/>
  <cols>
    <col min="1" max="1" width="9.140625" customWidth="1"/>
    <col min="2" max="2" width="15.7109375" customWidth="1"/>
    <col min="3" max="3" width="11.42578125" customWidth="1"/>
    <col min="4" max="4" width="11.28515625" customWidth="1"/>
    <col min="5" max="5" width="10.5703125" customWidth="1"/>
    <col min="6" max="6" width="11.140625" customWidth="1"/>
    <col min="8" max="8" width="12.5703125" customWidth="1"/>
    <col min="9" max="10" width="11.28515625" customWidth="1"/>
    <col min="11" max="11" width="12" hidden="1" customWidth="1"/>
    <col min="12" max="12" width="9.85546875" hidden="1" customWidth="1"/>
    <col min="13" max="13" width="10.140625" hidden="1" customWidth="1"/>
    <col min="14" max="16" width="10.5703125" hidden="1" customWidth="1"/>
    <col min="17" max="17" width="11" hidden="1" customWidth="1"/>
    <col min="19" max="19" width="14.42578125" customWidth="1"/>
    <col min="20" max="20" width="11.5703125" style="101" customWidth="1"/>
    <col min="21" max="21" width="14.140625" customWidth="1"/>
  </cols>
  <sheetData>
    <row r="1" spans="2:23" s="7" customFormat="1" ht="20.25" x14ac:dyDescent="0.3">
      <c r="C1" s="15" t="s">
        <v>141</v>
      </c>
      <c r="J1" s="172">
        <f ca="1">NOW()</f>
        <v>45157.674522685185</v>
      </c>
      <c r="L1" s="172"/>
    </row>
    <row r="2" spans="2:23" s="7" customFormat="1" ht="15.75" x14ac:dyDescent="0.25">
      <c r="C2" s="7" t="s">
        <v>187</v>
      </c>
      <c r="F2" s="19"/>
      <c r="T2" s="100"/>
    </row>
    <row r="3" spans="2:23" s="7" customFormat="1" ht="15.75" x14ac:dyDescent="0.25">
      <c r="T3" s="100"/>
    </row>
    <row r="4" spans="2:23" s="7" customFormat="1" ht="15.75" x14ac:dyDescent="0.25">
      <c r="T4" s="100"/>
    </row>
    <row r="5" spans="2:23" s="7" customFormat="1" ht="15.75" x14ac:dyDescent="0.25">
      <c r="C5" s="7" t="s">
        <v>101</v>
      </c>
      <c r="I5" s="7" t="s">
        <v>160</v>
      </c>
      <c r="S5" s="7" t="s">
        <v>102</v>
      </c>
      <c r="T5" s="100"/>
    </row>
    <row r="6" spans="2:23" ht="16.5" thickBot="1" x14ac:dyDescent="0.3">
      <c r="B6" s="7" t="s">
        <v>68</v>
      </c>
    </row>
    <row r="7" spans="2:23" ht="39" customHeight="1" thickBot="1" x14ac:dyDescent="0.3">
      <c r="B7" s="18" t="s">
        <v>3</v>
      </c>
      <c r="C7" s="43" t="s">
        <v>190</v>
      </c>
      <c r="D7" s="43" t="s">
        <v>163</v>
      </c>
      <c r="E7" s="24" t="s">
        <v>24</v>
      </c>
      <c r="F7" s="24" t="s">
        <v>23</v>
      </c>
      <c r="H7" s="43" t="s">
        <v>144</v>
      </c>
      <c r="I7" s="43" t="s">
        <v>133</v>
      </c>
      <c r="J7" s="43" t="s">
        <v>110</v>
      </c>
      <c r="K7" s="43" t="s">
        <v>99</v>
      </c>
      <c r="L7" s="43" t="s">
        <v>40</v>
      </c>
      <c r="M7" s="43" t="s">
        <v>38</v>
      </c>
      <c r="N7" s="43" t="s">
        <v>37</v>
      </c>
      <c r="O7" s="42" t="s">
        <v>31</v>
      </c>
      <c r="P7" s="42" t="s">
        <v>34</v>
      </c>
      <c r="Q7" s="42" t="s">
        <v>35</v>
      </c>
      <c r="S7" s="37" t="s">
        <v>188</v>
      </c>
      <c r="T7" s="102" t="s">
        <v>189</v>
      </c>
      <c r="U7" s="35" t="s">
        <v>87</v>
      </c>
    </row>
    <row r="8" spans="2:23" ht="12.75" customHeight="1" x14ac:dyDescent="0.2">
      <c r="B8" s="2" t="s">
        <v>7</v>
      </c>
      <c r="C8" s="55">
        <f>U8</f>
        <v>2897.9001211800974</v>
      </c>
      <c r="D8" s="55">
        <v>4936.3521844207989</v>
      </c>
      <c r="E8" s="8">
        <f t="shared" ref="E8:E13" si="0">C8-D8</f>
        <v>-2038.4520632407016</v>
      </c>
      <c r="F8" s="9">
        <f t="shared" ref="F8:F13" si="1">-1+(C8/D8)</f>
        <v>-0.41294704816120831</v>
      </c>
      <c r="H8" s="45">
        <v>3876.0783064466514</v>
      </c>
      <c r="I8" s="45">
        <v>7701.4400000000005</v>
      </c>
      <c r="J8" s="45">
        <v>4812.8006768596715</v>
      </c>
      <c r="K8" s="45">
        <v>3779.9924565869383</v>
      </c>
      <c r="L8" s="45">
        <v>4096.2880000000005</v>
      </c>
      <c r="M8" s="45">
        <v>2727.15</v>
      </c>
      <c r="N8" s="45">
        <v>2179.92</v>
      </c>
      <c r="O8" s="8">
        <v>1475.6759999999999</v>
      </c>
      <c r="P8" s="8">
        <v>1290.7760000000001</v>
      </c>
      <c r="Q8" s="25">
        <v>1695</v>
      </c>
      <c r="S8" s="32">
        <f>'State eml Scott France'!E6*0.04</f>
        <v>569.96</v>
      </c>
      <c r="T8" s="32">
        <f>'State eml Scott France'!F6*0.04</f>
        <v>2327.9401211800973</v>
      </c>
      <c r="U8" s="32">
        <f>S8+T8</f>
        <v>2897.9001211800974</v>
      </c>
    </row>
    <row r="9" spans="2:23" ht="12.75" customHeight="1" x14ac:dyDescent="0.2">
      <c r="B9" s="2" t="s">
        <v>8</v>
      </c>
      <c r="C9" s="55">
        <f t="shared" ref="C9:C12" si="2">U9</f>
        <v>2679.6297225113458</v>
      </c>
      <c r="D9" s="55">
        <v>3485.4969411859756</v>
      </c>
      <c r="E9" s="8">
        <f t="shared" si="0"/>
        <v>-805.86721867462984</v>
      </c>
      <c r="F9" s="9">
        <f t="shared" si="1"/>
        <v>-0.23120583155652563</v>
      </c>
      <c r="H9" s="45">
        <v>3927.6714949540496</v>
      </c>
      <c r="I9" s="45">
        <v>5081.96</v>
      </c>
      <c r="J9" s="45">
        <v>3820.5404867807806</v>
      </c>
      <c r="K9" s="45">
        <v>3149.895909943019</v>
      </c>
      <c r="L9" s="45">
        <v>3044.8360000000002</v>
      </c>
      <c r="M9" s="45">
        <v>2041.86</v>
      </c>
      <c r="N9" s="45">
        <v>1930.124</v>
      </c>
      <c r="O9" s="8">
        <v>1748.856</v>
      </c>
      <c r="P9" s="8">
        <v>1662.6520000000003</v>
      </c>
      <c r="Q9" s="25">
        <v>1972</v>
      </c>
      <c r="S9" s="32">
        <f>'State eml Scott France'!E7*0.04</f>
        <v>527</v>
      </c>
      <c r="T9" s="32">
        <f>'State eml Scott France'!F7*0.04</f>
        <v>2152.6297225113458</v>
      </c>
      <c r="U9" s="32">
        <f t="shared" ref="U9:U12" si="3">S9+T9</f>
        <v>2679.6297225113458</v>
      </c>
    </row>
    <row r="10" spans="2:23" ht="12.75" customHeight="1" x14ac:dyDescent="0.2">
      <c r="B10" s="2" t="s">
        <v>9</v>
      </c>
      <c r="C10" s="55">
        <f t="shared" si="2"/>
        <v>3065.7856348698065</v>
      </c>
      <c r="D10" s="55">
        <v>3678.0765600147415</v>
      </c>
      <c r="E10" s="8">
        <f t="shared" si="0"/>
        <v>-612.29092514493504</v>
      </c>
      <c r="F10" s="9">
        <f t="shared" si="1"/>
        <v>-0.16647041331365897</v>
      </c>
      <c r="H10" s="45">
        <v>3496.4104237140441</v>
      </c>
      <c r="I10" s="45">
        <v>5272.08</v>
      </c>
      <c r="J10" s="45">
        <v>3717.9789092758988</v>
      </c>
      <c r="K10" s="45">
        <v>2943.5529483525506</v>
      </c>
      <c r="L10" s="45">
        <v>2774.6560000000004</v>
      </c>
      <c r="M10" s="45">
        <v>1894.69</v>
      </c>
      <c r="N10" s="45">
        <v>1853.5120000000002</v>
      </c>
      <c r="O10" s="8">
        <v>1825.048</v>
      </c>
      <c r="P10" s="8">
        <v>1863.7840000000001</v>
      </c>
      <c r="Q10" s="25">
        <v>1893</v>
      </c>
      <c r="S10" s="32">
        <f>'State eml Scott France'!E8*0.04</f>
        <v>602.96</v>
      </c>
      <c r="T10" s="32">
        <f>'State eml Scott France'!F8*0.04</f>
        <v>2462.8256348698064</v>
      </c>
      <c r="U10" s="32">
        <f t="shared" si="3"/>
        <v>3065.7856348698065</v>
      </c>
    </row>
    <row r="11" spans="2:23" ht="12.75" customHeight="1" x14ac:dyDescent="0.2">
      <c r="B11" s="2" t="s">
        <v>10</v>
      </c>
      <c r="C11" s="55">
        <f t="shared" si="2"/>
        <v>9432.2940591236547</v>
      </c>
      <c r="D11" s="55">
        <v>9856.7943143784887</v>
      </c>
      <c r="E11" s="8">
        <f t="shared" si="0"/>
        <v>-424.50025525483397</v>
      </c>
      <c r="F11" s="9">
        <f t="shared" si="1"/>
        <v>-4.306676610220006E-2</v>
      </c>
      <c r="H11" s="45">
        <v>12839.389961427434</v>
      </c>
      <c r="I11" s="45">
        <v>14640.880000000001</v>
      </c>
      <c r="J11" s="45">
        <v>11859.142707399747</v>
      </c>
      <c r="K11" s="45">
        <v>10263.132494274008</v>
      </c>
      <c r="L11" s="45">
        <v>8599.6200000000008</v>
      </c>
      <c r="M11" s="45">
        <v>5306.02</v>
      </c>
      <c r="N11" s="45">
        <v>4768.4340000000002</v>
      </c>
      <c r="O11" s="8">
        <v>4603.01</v>
      </c>
      <c r="P11" s="8">
        <v>4897.1880000000001</v>
      </c>
      <c r="Q11" s="25">
        <v>5732</v>
      </c>
      <c r="S11" s="32">
        <f>'State eml Scott France'!E9*0.04</f>
        <v>1855.08</v>
      </c>
      <c r="T11" s="32">
        <f>'State eml Scott France'!F9*0.04</f>
        <v>7577.2140591236539</v>
      </c>
      <c r="U11" s="32">
        <f t="shared" si="3"/>
        <v>9432.2940591236547</v>
      </c>
    </row>
    <row r="12" spans="2:23" ht="12.75" customHeight="1" thickBot="1" x14ac:dyDescent="0.25">
      <c r="B12" s="2" t="s">
        <v>11</v>
      </c>
      <c r="C12" s="55">
        <f t="shared" si="2"/>
        <v>27113.414306527353</v>
      </c>
      <c r="D12" s="55">
        <v>32935.08</v>
      </c>
      <c r="E12" s="8">
        <f t="shared" si="0"/>
        <v>-5821.6656934726489</v>
      </c>
      <c r="F12" s="9">
        <f t="shared" si="1"/>
        <v>-0.17676185069150119</v>
      </c>
      <c r="H12" s="45">
        <v>36209.325279813267</v>
      </c>
      <c r="I12" s="45">
        <v>49044.54</v>
      </c>
      <c r="J12" s="45">
        <v>36315.694170474148</v>
      </c>
      <c r="K12" s="45">
        <v>30204.860713734772</v>
      </c>
      <c r="L12" s="45">
        <v>27773.599999999999</v>
      </c>
      <c r="M12" s="45">
        <v>17954.28</v>
      </c>
      <c r="N12" s="45">
        <v>16098</v>
      </c>
      <c r="O12" s="8">
        <v>14480.4</v>
      </c>
      <c r="P12" s="8">
        <v>14571.6</v>
      </c>
      <c r="Q12" s="25">
        <v>16938</v>
      </c>
      <c r="S12" s="32">
        <f>'State eml Scott France'!E10*0.06</f>
        <v>5332.5</v>
      </c>
      <c r="T12" s="32">
        <f>'State eml Scott France'!F10*0.06</f>
        <v>21780.914306527353</v>
      </c>
      <c r="U12" s="32">
        <f t="shared" si="3"/>
        <v>27113.414306527353</v>
      </c>
      <c r="V12" s="32"/>
      <c r="W12" s="32"/>
    </row>
    <row r="13" spans="2:23" ht="12.75" customHeight="1" thickBot="1" x14ac:dyDescent="0.25">
      <c r="C13" s="56">
        <f>SUM(C8:C12)</f>
        <v>45189.023844212257</v>
      </c>
      <c r="D13" s="56">
        <v>54891.80000000001</v>
      </c>
      <c r="E13" s="8">
        <f t="shared" si="0"/>
        <v>-9702.7761557877529</v>
      </c>
      <c r="F13" s="9">
        <f t="shared" si="1"/>
        <v>-0.1767618506915013</v>
      </c>
      <c r="H13" s="11">
        <f>SUM(H8:H12)</f>
        <v>60348.875466355443</v>
      </c>
      <c r="I13" s="11">
        <f>SUM(I8:I12)</f>
        <v>81740.900000000009</v>
      </c>
      <c r="J13" s="45">
        <f>SUM(J8:J12)</f>
        <v>60526.156950790246</v>
      </c>
      <c r="K13" s="45">
        <f>SUM(K8:K12)</f>
        <v>50341.434522891286</v>
      </c>
      <c r="L13" s="45">
        <f t="shared" ref="L13:Q13" si="4">SUM(L8:L12)</f>
        <v>46289</v>
      </c>
      <c r="M13" s="45">
        <f t="shared" si="4"/>
        <v>29924</v>
      </c>
      <c r="N13" s="45">
        <f t="shared" si="4"/>
        <v>26829.99</v>
      </c>
      <c r="O13" s="11">
        <f t="shared" si="4"/>
        <v>24132.989999999998</v>
      </c>
      <c r="P13" s="11">
        <f t="shared" si="4"/>
        <v>24286</v>
      </c>
      <c r="Q13" s="26">
        <f t="shared" si="4"/>
        <v>28230</v>
      </c>
      <c r="S13" s="118">
        <f t="shared" ref="S13:T13" si="5">SUM(S8:S12)</f>
        <v>8887.5</v>
      </c>
      <c r="T13" s="119">
        <f t="shared" si="5"/>
        <v>36301.523844212257</v>
      </c>
      <c r="U13" s="118">
        <f>SUM(U8:U12)</f>
        <v>45189.023844212257</v>
      </c>
    </row>
    <row r="14" spans="2:23" ht="12.75" customHeight="1" x14ac:dyDescent="0.2">
      <c r="C14" s="32"/>
      <c r="D14" s="32"/>
      <c r="E14" s="13"/>
      <c r="F14" s="14"/>
      <c r="O14" s="13"/>
      <c r="P14" s="13"/>
      <c r="S14" s="201">
        <f>S13/U13</f>
        <v>0.1966738655528249</v>
      </c>
      <c r="T14" s="107"/>
      <c r="U14" s="32"/>
    </row>
    <row r="15" spans="2:23" ht="17.25" customHeight="1" thickBot="1" x14ac:dyDescent="0.3">
      <c r="B15" s="7" t="s">
        <v>16</v>
      </c>
      <c r="C15" s="32"/>
      <c r="D15" s="32"/>
      <c r="S15" s="96"/>
    </row>
    <row r="16" spans="2:23" ht="12.75" hidden="1" customHeight="1" thickBot="1" x14ac:dyDescent="0.25">
      <c r="C16" s="53">
        <f>483473*0.9</f>
        <v>435125.7</v>
      </c>
      <c r="D16" s="53">
        <v>435125.7</v>
      </c>
    </row>
    <row r="17" spans="2:23" ht="42" customHeight="1" thickBot="1" x14ac:dyDescent="0.3">
      <c r="B17" s="18" t="s">
        <v>3</v>
      </c>
      <c r="C17" s="43" t="str">
        <f>C7</f>
        <v>PY23 &amp; FY24 Actual</v>
      </c>
      <c r="D17" s="43" t="s">
        <v>163</v>
      </c>
      <c r="E17" s="24" t="s">
        <v>24</v>
      </c>
      <c r="F17" s="24" t="s">
        <v>23</v>
      </c>
      <c r="H17" s="43" t="s">
        <v>144</v>
      </c>
      <c r="I17" s="43" t="str">
        <f>I7</f>
        <v>PY20 &amp; FY21 Actual</v>
      </c>
      <c r="J17" s="43" t="str">
        <f>J7</f>
        <v>PY19 &amp; FY20 Actual</v>
      </c>
      <c r="K17" s="43" t="str">
        <f>K7</f>
        <v>PY18 &amp; FY19 Actual</v>
      </c>
      <c r="L17" s="43" t="str">
        <f>L7</f>
        <v>PY17 &amp; FY18 Actual</v>
      </c>
      <c r="M17" s="43" t="s">
        <v>38</v>
      </c>
      <c r="N17" s="43" t="s">
        <v>37</v>
      </c>
      <c r="O17" s="42" t="s">
        <v>31</v>
      </c>
      <c r="P17" s="42" t="s">
        <v>34</v>
      </c>
      <c r="Q17" s="42" t="s">
        <v>35</v>
      </c>
      <c r="S17" s="37" t="str">
        <f>S7</f>
        <v>PY23</v>
      </c>
      <c r="T17" s="102" t="str">
        <f>T7</f>
        <v>FY 24</v>
      </c>
      <c r="U17" s="35" t="s">
        <v>87</v>
      </c>
    </row>
    <row r="18" spans="2:23" ht="12.75" customHeight="1" x14ac:dyDescent="0.2">
      <c r="B18" s="2" t="s">
        <v>7</v>
      </c>
      <c r="C18" s="55">
        <f>U18</f>
        <v>65202.752726552193</v>
      </c>
      <c r="D18" s="55">
        <v>111067.92414946796</v>
      </c>
      <c r="E18" s="8">
        <f t="shared" ref="E18:E22" si="6">C18-D18</f>
        <v>-45865.171422915766</v>
      </c>
      <c r="F18" s="9">
        <f>-1+(C18/D18)</f>
        <v>-0.4129470481612082</v>
      </c>
      <c r="H18" s="45">
        <v>87211.811895049643</v>
      </c>
      <c r="I18" s="45">
        <v>173282.40000000002</v>
      </c>
      <c r="J18" s="45">
        <v>108288.01522934259</v>
      </c>
      <c r="K18" s="45">
        <v>85049.830273206113</v>
      </c>
      <c r="L18" s="45">
        <v>92168.79</v>
      </c>
      <c r="M18" s="45">
        <v>61354.85</v>
      </c>
      <c r="N18" s="45">
        <v>49052.160000000003</v>
      </c>
      <c r="O18" s="8">
        <v>33207.19</v>
      </c>
      <c r="P18" s="8">
        <v>29032.03</v>
      </c>
      <c r="Q18" s="25">
        <v>38132</v>
      </c>
      <c r="S18" s="32">
        <f>'State eml Scott France'!E6*0.9</f>
        <v>12824.1</v>
      </c>
      <c r="T18" s="32">
        <f>'State eml Scott France'!F6*0.9</f>
        <v>52378.652726552195</v>
      </c>
      <c r="U18" s="32">
        <f>S18+T18</f>
        <v>65202.752726552193</v>
      </c>
    </row>
    <row r="19" spans="2:23" ht="12.75" customHeight="1" x14ac:dyDescent="0.2">
      <c r="B19" s="2" t="s">
        <v>8</v>
      </c>
      <c r="C19" s="55">
        <f t="shared" ref="C19:C21" si="7">U19</f>
        <v>60291.668756505278</v>
      </c>
      <c r="D19" s="55">
        <v>78423.681176684448</v>
      </c>
      <c r="E19" s="8">
        <f t="shared" si="6"/>
        <v>-18132.01242017917</v>
      </c>
      <c r="F19" s="9">
        <f>-1+(C19/D19)</f>
        <v>-0.23120583155652552</v>
      </c>
      <c r="H19" s="45">
        <v>88372.608636466117</v>
      </c>
      <c r="I19" s="45">
        <v>114344.1</v>
      </c>
      <c r="J19" s="45">
        <v>85962.160952567559</v>
      </c>
      <c r="K19" s="45">
        <v>70872.657973717927</v>
      </c>
      <c r="L19" s="45">
        <v>68509.820000000007</v>
      </c>
      <c r="M19" s="45">
        <v>45941.429999999993</v>
      </c>
      <c r="N19" s="45">
        <v>43418.810000000005</v>
      </c>
      <c r="O19" s="8">
        <v>39345.279999999999</v>
      </c>
      <c r="P19" s="8">
        <v>37399.170000000006</v>
      </c>
      <c r="Q19" s="25">
        <v>44379</v>
      </c>
      <c r="S19" s="32">
        <f>'State eml Scott France'!E7*0.9</f>
        <v>11857.5</v>
      </c>
      <c r="T19" s="32">
        <f>'State eml Scott France'!F7*0.9</f>
        <v>48434.168756505278</v>
      </c>
      <c r="U19" s="32">
        <f t="shared" ref="U19:U21" si="8">S19+T19</f>
        <v>60291.668756505278</v>
      </c>
    </row>
    <row r="20" spans="2:23" ht="12.75" customHeight="1" x14ac:dyDescent="0.2">
      <c r="B20" s="2" t="s">
        <v>9</v>
      </c>
      <c r="C20" s="55">
        <f t="shared" si="7"/>
        <v>68980.176784570649</v>
      </c>
      <c r="D20" s="55">
        <v>82756.722600331675</v>
      </c>
      <c r="E20" s="8">
        <f t="shared" si="6"/>
        <v>-13776.545815761026</v>
      </c>
      <c r="F20" s="9">
        <f>-1+(C20/D20)</f>
        <v>-0.16647041331365886</v>
      </c>
      <c r="H20" s="45">
        <v>78669.234533566007</v>
      </c>
      <c r="I20" s="45">
        <v>118621.8</v>
      </c>
      <c r="J20" s="45">
        <v>83654.525458707736</v>
      </c>
      <c r="K20" s="45">
        <v>66229.941337932396</v>
      </c>
      <c r="L20" s="45">
        <v>62430.770000000004</v>
      </c>
      <c r="M20" s="45">
        <v>42630.28</v>
      </c>
      <c r="N20" s="45">
        <v>41701.97</v>
      </c>
      <c r="O20" s="8">
        <v>41075.050000000003</v>
      </c>
      <c r="P20" s="8">
        <v>41938.61</v>
      </c>
      <c r="Q20" s="25">
        <v>42591</v>
      </c>
      <c r="S20" s="32">
        <f>'State eml Scott France'!E8*0.9</f>
        <v>13566.6</v>
      </c>
      <c r="T20" s="32">
        <f>'State eml Scott France'!F8*0.9</f>
        <v>55413.576784570643</v>
      </c>
      <c r="U20" s="32">
        <f t="shared" si="8"/>
        <v>68980.176784570649</v>
      </c>
    </row>
    <row r="21" spans="2:23" ht="12.75" customHeight="1" thickBot="1" x14ac:dyDescent="0.25">
      <c r="B21" s="2" t="s">
        <v>10</v>
      </c>
      <c r="C21" s="55">
        <f t="shared" si="7"/>
        <v>212226.61633028224</v>
      </c>
      <c r="D21" s="55">
        <v>221777.87207351596</v>
      </c>
      <c r="E21" s="8">
        <f t="shared" si="6"/>
        <v>-9551.2557432337198</v>
      </c>
      <c r="F21" s="9">
        <f>-1+(C21/D21)</f>
        <v>-4.3066766102199838E-2</v>
      </c>
      <c r="H21" s="45">
        <v>288886.27413211728</v>
      </c>
      <c r="I21" s="45">
        <v>329419.3</v>
      </c>
      <c r="J21" s="45">
        <v>266830.71091649431</v>
      </c>
      <c r="K21" s="45">
        <v>230920.48112116518</v>
      </c>
      <c r="L21" s="45">
        <v>193496.62</v>
      </c>
      <c r="M21" s="45">
        <v>119387.44</v>
      </c>
      <c r="N21" s="45">
        <v>107288.06</v>
      </c>
      <c r="O21" s="8">
        <v>103558.48000000001</v>
      </c>
      <c r="P21" s="8">
        <v>110187.19</v>
      </c>
      <c r="Q21" s="25">
        <v>128963</v>
      </c>
      <c r="S21" s="32">
        <f>'State eml Scott France'!E9*0.9</f>
        <v>41739.300000000003</v>
      </c>
      <c r="T21" s="32">
        <f>'State eml Scott France'!F9*0.9</f>
        <v>170487.31633028222</v>
      </c>
      <c r="U21" s="32">
        <f t="shared" si="8"/>
        <v>212226.61633028224</v>
      </c>
      <c r="W21" s="32"/>
    </row>
    <row r="22" spans="2:23" ht="12.75" customHeight="1" thickBot="1" x14ac:dyDescent="0.25">
      <c r="C22" s="56">
        <f>SUM(C18:C21)</f>
        <v>406701.21459791035</v>
      </c>
      <c r="D22" s="56">
        <v>494026.2</v>
      </c>
      <c r="E22" s="8">
        <f t="shared" si="6"/>
        <v>-87324.98540208966</v>
      </c>
      <c r="F22" s="9">
        <f>-1+(C22/D22)</f>
        <v>-0.17676185069150108</v>
      </c>
      <c r="H22" s="45">
        <f>SUM(H18:H21)</f>
        <v>543139.92919719906</v>
      </c>
      <c r="I22" s="45">
        <f>SUM(I18:I21)</f>
        <v>735667.6</v>
      </c>
      <c r="J22" s="45">
        <f>SUM(J18:J21)</f>
        <v>544735.41255711229</v>
      </c>
      <c r="K22" s="45">
        <f>SUM(K18:K21)</f>
        <v>453072.91070602159</v>
      </c>
      <c r="L22" s="45">
        <f t="shared" ref="L22:Q22" si="9">SUM(L18:L21)</f>
        <v>416606</v>
      </c>
      <c r="M22" s="45">
        <f t="shared" si="9"/>
        <v>269314</v>
      </c>
      <c r="N22" s="45">
        <f t="shared" si="9"/>
        <v>241461</v>
      </c>
      <c r="O22" s="11">
        <f t="shared" si="9"/>
        <v>217186</v>
      </c>
      <c r="P22" s="11">
        <f t="shared" si="9"/>
        <v>218557</v>
      </c>
      <c r="Q22" s="26">
        <f t="shared" si="9"/>
        <v>254065</v>
      </c>
      <c r="S22" s="120">
        <f>SUM(S18:S21)</f>
        <v>79987.5</v>
      </c>
      <c r="T22" s="121">
        <f>SUM(T18:T21)</f>
        <v>326713.71459791029</v>
      </c>
      <c r="U22" s="120">
        <f>SUM(U18:U21)</f>
        <v>406701.21459791035</v>
      </c>
    </row>
    <row r="23" spans="2:23" ht="12.75" customHeight="1" x14ac:dyDescent="0.2">
      <c r="C23" s="32"/>
      <c r="D23" s="32"/>
      <c r="E23" s="13"/>
      <c r="F23" s="14"/>
      <c r="H23" s="13"/>
      <c r="I23" s="13"/>
      <c r="J23" s="13"/>
      <c r="K23" s="13"/>
      <c r="L23" s="13"/>
      <c r="M23" s="13"/>
      <c r="N23" s="13"/>
      <c r="O23" s="13"/>
      <c r="P23" s="13"/>
      <c r="S23" s="32">
        <f>S22+S13</f>
        <v>88875</v>
      </c>
      <c r="T23" s="32">
        <f>T22+T13</f>
        <v>363015.23844212253</v>
      </c>
      <c r="U23" s="32"/>
    </row>
    <row r="24" spans="2:23" ht="12.75" customHeight="1" x14ac:dyDescent="0.2">
      <c r="C24" s="32"/>
      <c r="D24" s="32"/>
      <c r="N24" s="32"/>
      <c r="S24" s="201">
        <f>S22/U22</f>
        <v>0.19667386555282487</v>
      </c>
    </row>
    <row r="25" spans="2:23" ht="18.75" customHeight="1" thickBot="1" x14ac:dyDescent="0.3">
      <c r="B25" s="7" t="s">
        <v>69</v>
      </c>
      <c r="N25" s="32"/>
    </row>
    <row r="26" spans="2:23" ht="40.5" customHeight="1" thickBot="1" x14ac:dyDescent="0.3">
      <c r="B26" s="18" t="s">
        <v>3</v>
      </c>
      <c r="C26" s="43" t="str">
        <f>C7</f>
        <v>PY23 &amp; FY24 Actual</v>
      </c>
      <c r="D26" s="43" t="s">
        <v>163</v>
      </c>
      <c r="E26" s="24" t="s">
        <v>24</v>
      </c>
      <c r="F26" s="24" t="s">
        <v>23</v>
      </c>
      <c r="H26" s="43" t="s">
        <v>144</v>
      </c>
      <c r="I26" s="43" t="str">
        <f>I7</f>
        <v>PY20 &amp; FY21 Actual</v>
      </c>
      <c r="J26" s="43" t="str">
        <f>J7</f>
        <v>PY19 &amp; FY20 Actual</v>
      </c>
      <c r="K26" s="43" t="str">
        <f>K7</f>
        <v>PY18 &amp; FY19 Actual</v>
      </c>
      <c r="L26" s="43" t="str">
        <f>L7</f>
        <v>PY17 &amp; FY18 Actual</v>
      </c>
      <c r="M26" s="43" t="s">
        <v>38</v>
      </c>
      <c r="N26" s="47" t="s">
        <v>37</v>
      </c>
      <c r="O26" s="42" t="s">
        <v>31</v>
      </c>
      <c r="P26" s="42" t="s">
        <v>34</v>
      </c>
      <c r="Q26" s="42" t="s">
        <v>35</v>
      </c>
      <c r="S26" s="37" t="str">
        <f>S7</f>
        <v>PY23</v>
      </c>
      <c r="T26" s="102" t="str">
        <f>T7</f>
        <v>FY 24</v>
      </c>
      <c r="U26" s="35" t="s">
        <v>87</v>
      </c>
    </row>
    <row r="27" spans="2:23" ht="12.75" customHeight="1" x14ac:dyDescent="0.2">
      <c r="B27" s="2" t="s">
        <v>7</v>
      </c>
      <c r="C27" s="55">
        <f t="shared" ref="C27:C31" si="10">U27</f>
        <v>3997.6283779576838</v>
      </c>
      <c r="D27" s="55">
        <v>4019.2102937779082</v>
      </c>
      <c r="E27" s="8">
        <f t="shared" ref="E27:E32" si="11">C27-D27</f>
        <v>-21.581915820224367</v>
      </c>
      <c r="F27" s="9">
        <f t="shared" ref="F27:F32" si="12">-1+(C27/D27)</f>
        <v>-5.3696906214723006E-3</v>
      </c>
      <c r="H27" s="45">
        <v>4693.2429779624936</v>
      </c>
      <c r="I27" s="45">
        <v>9583.84</v>
      </c>
      <c r="J27" s="45">
        <v>7669.385815403326</v>
      </c>
      <c r="K27" s="45">
        <v>7554.1480692834621</v>
      </c>
      <c r="L27" s="45">
        <v>8622.4279999999999</v>
      </c>
      <c r="M27" s="45">
        <v>6979.96</v>
      </c>
      <c r="N27" s="31">
        <v>6776.4679999999998</v>
      </c>
      <c r="O27" s="8">
        <v>5304.4</v>
      </c>
      <c r="P27" s="8">
        <v>4807.5999999999995</v>
      </c>
      <c r="Q27" s="25">
        <v>1270</v>
      </c>
      <c r="S27" s="32">
        <f>'State eml Scott France'!I6*0.04</f>
        <v>862.12</v>
      </c>
      <c r="T27" s="32">
        <f>'State eml Scott France'!J6*0.04</f>
        <v>3135.5083779576839</v>
      </c>
      <c r="U27" s="32">
        <f>S27+T27</f>
        <v>3997.6283779576838</v>
      </c>
    </row>
    <row r="28" spans="2:23" ht="12.75" customHeight="1" x14ac:dyDescent="0.2">
      <c r="B28" s="2" t="s">
        <v>8</v>
      </c>
      <c r="C28" s="55">
        <f t="shared" si="10"/>
        <v>2618.8632118236046</v>
      </c>
      <c r="D28" s="55">
        <v>2875.8036244622372</v>
      </c>
      <c r="E28" s="8">
        <f t="shared" si="11"/>
        <v>-256.94041263863255</v>
      </c>
      <c r="F28" s="9">
        <f t="shared" si="12"/>
        <v>-8.9345604287107472E-2</v>
      </c>
      <c r="H28" s="45">
        <v>3341.6025358691568</v>
      </c>
      <c r="I28" s="45">
        <v>3880.56</v>
      </c>
      <c r="J28" s="45">
        <v>3757.5165682195448</v>
      </c>
      <c r="K28" s="45">
        <v>3908.0299431410194</v>
      </c>
      <c r="L28" s="45">
        <v>3691.6480000000001</v>
      </c>
      <c r="M28" s="45">
        <v>3044.95</v>
      </c>
      <c r="N28" s="31">
        <v>2736.0960000000005</v>
      </c>
      <c r="O28" s="8">
        <v>2617.1999999999998</v>
      </c>
      <c r="P28" s="8">
        <v>1628.8</v>
      </c>
      <c r="Q28" s="25">
        <v>1837</v>
      </c>
      <c r="S28" s="32">
        <f>'State eml Scott France'!I7*0.04</f>
        <v>564.76</v>
      </c>
      <c r="T28" s="32">
        <f>'State eml Scott France'!J7*0.04</f>
        <v>2054.1032118236049</v>
      </c>
      <c r="U28" s="32">
        <f t="shared" ref="U28:U31" si="13">S28+T28</f>
        <v>2618.8632118236046</v>
      </c>
    </row>
    <row r="29" spans="2:23" ht="12.75" customHeight="1" x14ac:dyDescent="0.2">
      <c r="B29" s="2" t="s">
        <v>9</v>
      </c>
      <c r="C29" s="55">
        <f t="shared" si="10"/>
        <v>2757.0032630473947</v>
      </c>
      <c r="D29" s="55">
        <v>2899.4198246086576</v>
      </c>
      <c r="E29" s="8">
        <f t="shared" si="11"/>
        <v>-142.41656156126282</v>
      </c>
      <c r="F29" s="9">
        <f t="shared" si="12"/>
        <v>-4.9118985926946634E-2</v>
      </c>
      <c r="H29" s="45">
        <v>2967.3678637566964</v>
      </c>
      <c r="I29" s="45">
        <v>4412.12</v>
      </c>
      <c r="J29" s="45">
        <v>3767.2592348762428</v>
      </c>
      <c r="K29" s="45">
        <v>3338.778648922264</v>
      </c>
      <c r="L29" s="45">
        <v>3056.2640000000001</v>
      </c>
      <c r="M29" s="45">
        <v>2332.54</v>
      </c>
      <c r="N29" s="31">
        <v>2299.6760000000004</v>
      </c>
      <c r="O29" s="8">
        <v>2155.6</v>
      </c>
      <c r="P29" s="8">
        <v>1252.4000000000001</v>
      </c>
      <c r="Q29" s="25">
        <v>1452</v>
      </c>
      <c r="S29" s="32">
        <f>'State eml Scott France'!I8*0.04</f>
        <v>594.56000000000006</v>
      </c>
      <c r="T29" s="32">
        <f>'State eml Scott France'!J8*0.04</f>
        <v>2162.4432630473948</v>
      </c>
      <c r="U29" s="32">
        <f t="shared" si="13"/>
        <v>2757.0032630473947</v>
      </c>
    </row>
    <row r="30" spans="2:23" ht="12.75" customHeight="1" x14ac:dyDescent="0.2">
      <c r="B30" s="2" t="s">
        <v>10</v>
      </c>
      <c r="C30" s="55">
        <f t="shared" si="10"/>
        <v>5683.0040844251071</v>
      </c>
      <c r="D30" s="55">
        <v>8259.2062571511979</v>
      </c>
      <c r="E30" s="8">
        <f t="shared" si="11"/>
        <v>-2576.2021727260908</v>
      </c>
      <c r="F30" s="9">
        <f t="shared" si="12"/>
        <v>-0.31191885666924679</v>
      </c>
      <c r="H30" s="45">
        <v>9232.1473693654243</v>
      </c>
      <c r="I30" s="45">
        <v>8396.2000000000007</v>
      </c>
      <c r="J30" s="45">
        <v>9035.5374379610457</v>
      </c>
      <c r="K30" s="45">
        <v>9824.8361513837026</v>
      </c>
      <c r="L30" s="45">
        <v>7702.5</v>
      </c>
      <c r="M30" s="45">
        <v>6123.6900000000005</v>
      </c>
      <c r="N30" s="31">
        <v>5968.1600000000008</v>
      </c>
      <c r="O30" s="8">
        <v>4754</v>
      </c>
      <c r="P30" s="8">
        <v>2608</v>
      </c>
      <c r="Q30" s="25">
        <v>4537</v>
      </c>
      <c r="S30" s="32">
        <f>'State eml Scott France'!I9*0.04</f>
        <v>1225.56</v>
      </c>
      <c r="T30" s="32">
        <f>'State eml Scott France'!J9*0.04</f>
        <v>4457.4440844251076</v>
      </c>
      <c r="U30" s="32">
        <f t="shared" si="13"/>
        <v>5683.0040844251071</v>
      </c>
    </row>
    <row r="31" spans="2:23" ht="12.75" customHeight="1" thickBot="1" x14ac:dyDescent="0.25">
      <c r="B31" s="2" t="s">
        <v>11</v>
      </c>
      <c r="C31" s="55">
        <f t="shared" si="10"/>
        <v>22584.748405880688</v>
      </c>
      <c r="D31" s="55">
        <v>27080.460000000003</v>
      </c>
      <c r="E31" s="8">
        <f t="shared" si="11"/>
        <v>-4495.7115941193151</v>
      </c>
      <c r="F31" s="9">
        <f t="shared" si="12"/>
        <v>-0.16601311772840321</v>
      </c>
      <c r="H31" s="45">
        <v>30351.541120430658</v>
      </c>
      <c r="I31" s="45">
        <v>39409.079999999994</v>
      </c>
      <c r="J31" s="45">
        <v>36344.548584690237</v>
      </c>
      <c r="K31" s="45">
        <v>36938.689219095671</v>
      </c>
      <c r="L31" s="45">
        <v>34610.160000000003</v>
      </c>
      <c r="M31" s="45">
        <v>27718.86</v>
      </c>
      <c r="N31" s="31">
        <v>26670.6</v>
      </c>
      <c r="O31" s="8">
        <v>22249.8</v>
      </c>
      <c r="P31" s="8">
        <v>15445.2</v>
      </c>
      <c r="Q31" s="25">
        <v>13644</v>
      </c>
      <c r="S31" s="32">
        <f>'State eml Scott France'!I10*0.06</f>
        <v>4870.5</v>
      </c>
      <c r="T31" s="32">
        <f>'State eml Scott France'!J10*0.06</f>
        <v>17714.248405880688</v>
      </c>
      <c r="U31" s="32">
        <f t="shared" si="13"/>
        <v>22584.748405880688</v>
      </c>
      <c r="W31" s="32"/>
    </row>
    <row r="32" spans="2:23" ht="12.75" customHeight="1" thickBot="1" x14ac:dyDescent="0.25">
      <c r="C32" s="56">
        <f>SUM(C27:C31)</f>
        <v>37641.247343134477</v>
      </c>
      <c r="D32" s="56">
        <v>45134.100000000006</v>
      </c>
      <c r="E32" s="8">
        <f t="shared" si="11"/>
        <v>-7492.8526568655288</v>
      </c>
      <c r="F32" s="9">
        <f t="shared" si="12"/>
        <v>-0.16601311772840333</v>
      </c>
      <c r="H32" s="45">
        <f>SUM(H27:H31)</f>
        <v>50585.901867384426</v>
      </c>
      <c r="I32" s="45">
        <f>SUM(I27:I31)</f>
        <v>65681.799999999988</v>
      </c>
      <c r="J32" s="45">
        <f>SUM(J27:J31)</f>
        <v>60574.247641150396</v>
      </c>
      <c r="K32" s="45">
        <f>SUM(K27:K31)</f>
        <v>61564.482031826119</v>
      </c>
      <c r="L32" s="45">
        <f t="shared" ref="L32:Q32" si="14">SUM(L27:L31)</f>
        <v>57683</v>
      </c>
      <c r="M32" s="45">
        <f t="shared" si="14"/>
        <v>46200</v>
      </c>
      <c r="N32" s="31">
        <f t="shared" si="14"/>
        <v>44451</v>
      </c>
      <c r="O32" s="11">
        <f t="shared" si="14"/>
        <v>37081</v>
      </c>
      <c r="P32" s="11">
        <f t="shared" si="14"/>
        <v>25742</v>
      </c>
      <c r="Q32" s="26">
        <f t="shared" si="14"/>
        <v>22740</v>
      </c>
      <c r="S32" s="118">
        <f t="shared" ref="S32:T32" si="15">SUM(S27:S31)</f>
        <v>8117.5</v>
      </c>
      <c r="T32" s="119">
        <f t="shared" si="15"/>
        <v>29523.747343134477</v>
      </c>
      <c r="U32" s="118">
        <f>SUM(U27:U31)</f>
        <v>37641.247343134477</v>
      </c>
    </row>
    <row r="33" spans="2:21" ht="12.75" customHeight="1" x14ac:dyDescent="0.2">
      <c r="C33" s="32"/>
      <c r="D33" s="32"/>
      <c r="E33" s="13"/>
      <c r="F33" s="14"/>
      <c r="N33" s="32"/>
      <c r="O33" s="13"/>
      <c r="P33" s="13"/>
      <c r="S33" s="201">
        <f>S32/U32</f>
        <v>0.21565438376687004</v>
      </c>
      <c r="T33" s="107"/>
      <c r="U33" s="32"/>
    </row>
    <row r="34" spans="2:21" ht="12.75" customHeight="1" x14ac:dyDescent="0.2">
      <c r="C34" s="32"/>
      <c r="D34" s="32"/>
      <c r="E34" s="13"/>
      <c r="F34" s="14"/>
      <c r="N34" s="32"/>
      <c r="O34" s="13"/>
      <c r="P34" s="13"/>
      <c r="S34" s="96"/>
    </row>
    <row r="35" spans="2:21" ht="18" customHeight="1" thickBot="1" x14ac:dyDescent="0.3">
      <c r="B35" s="7" t="s">
        <v>18</v>
      </c>
      <c r="N35" s="32"/>
    </row>
    <row r="36" spans="2:21" ht="40.5" customHeight="1" thickBot="1" x14ac:dyDescent="0.3">
      <c r="B36" s="18" t="s">
        <v>3</v>
      </c>
      <c r="C36" s="43" t="str">
        <f>C7</f>
        <v>PY23 &amp; FY24 Actual</v>
      </c>
      <c r="D36" s="43" t="s">
        <v>163</v>
      </c>
      <c r="E36" s="24" t="s">
        <v>24</v>
      </c>
      <c r="F36" s="24" t="s">
        <v>23</v>
      </c>
      <c r="H36" s="43" t="s">
        <v>144</v>
      </c>
      <c r="I36" s="43" t="str">
        <f>I7</f>
        <v>PY20 &amp; FY21 Actual</v>
      </c>
      <c r="J36" s="43" t="str">
        <f>J7</f>
        <v>PY19 &amp; FY20 Actual</v>
      </c>
      <c r="K36" s="43" t="str">
        <f>K7</f>
        <v>PY18 &amp; FY19 Actual</v>
      </c>
      <c r="L36" s="43" t="str">
        <f>L7</f>
        <v>PY17 &amp; FY18 Actual</v>
      </c>
      <c r="M36" s="43" t="s">
        <v>38</v>
      </c>
      <c r="N36" s="47" t="s">
        <v>37</v>
      </c>
      <c r="O36" s="42" t="s">
        <v>31</v>
      </c>
      <c r="P36" s="42" t="s">
        <v>34</v>
      </c>
      <c r="Q36" s="42" t="s">
        <v>35</v>
      </c>
      <c r="S36" s="37" t="str">
        <f>S26</f>
        <v>PY23</v>
      </c>
      <c r="T36" s="102" t="str">
        <f>T26</f>
        <v>FY 24</v>
      </c>
      <c r="U36" s="35" t="s">
        <v>87</v>
      </c>
    </row>
    <row r="37" spans="2:21" ht="12.75" customHeight="1" x14ac:dyDescent="0.2">
      <c r="B37" s="2" t="s">
        <v>7</v>
      </c>
      <c r="C37" s="55">
        <f t="shared" ref="C37:C40" si="16">U37</f>
        <v>89946.638504047893</v>
      </c>
      <c r="D37" s="55">
        <v>90432.231610002942</v>
      </c>
      <c r="E37" s="8">
        <f>C37-D37</f>
        <v>-485.5931059550494</v>
      </c>
      <c r="F37" s="9">
        <f>-1+(C37/D37)</f>
        <v>-5.3696906214724116E-3</v>
      </c>
      <c r="H37" s="45">
        <v>105598.96700415612</v>
      </c>
      <c r="I37" s="45">
        <v>215636.40000000002</v>
      </c>
      <c r="J37" s="45">
        <v>172561.18084657483</v>
      </c>
      <c r="K37" s="45">
        <v>169968.33155887789</v>
      </c>
      <c r="L37" s="45">
        <v>194000.71000000002</v>
      </c>
      <c r="M37" s="45">
        <v>157036.51</v>
      </c>
      <c r="N37" s="31">
        <v>152464.54999999999</v>
      </c>
      <c r="O37" s="8">
        <v>119359</v>
      </c>
      <c r="P37" s="8">
        <v>108168</v>
      </c>
      <c r="Q37" s="25">
        <v>28583</v>
      </c>
      <c r="S37" s="32">
        <f>'State eml Scott France'!I6*0.9</f>
        <v>19397.7</v>
      </c>
      <c r="T37" s="32">
        <f>'State eml Scott France'!J6*0.9</f>
        <v>70548.938504047896</v>
      </c>
      <c r="U37" s="32">
        <f>S37+T37</f>
        <v>89946.638504047893</v>
      </c>
    </row>
    <row r="38" spans="2:21" ht="12.75" customHeight="1" x14ac:dyDescent="0.2">
      <c r="B38" s="2" t="s">
        <v>8</v>
      </c>
      <c r="C38" s="55">
        <f t="shared" si="16"/>
        <v>58924.422266031113</v>
      </c>
      <c r="D38" s="55">
        <v>64705.58155040034</v>
      </c>
      <c r="E38" s="8">
        <f>C38-D38</f>
        <v>-5781.159284369227</v>
      </c>
      <c r="F38" s="9">
        <f>-1+(C38/D38)</f>
        <v>-8.9345604287107361E-2</v>
      </c>
      <c r="H38" s="45">
        <v>75186.057057056038</v>
      </c>
      <c r="I38" s="45">
        <v>87312.599999999991</v>
      </c>
      <c r="J38" s="45">
        <v>84544.122784939755</v>
      </c>
      <c r="K38" s="45">
        <v>87930.67372067293</v>
      </c>
      <c r="L38" s="45">
        <v>83063.359999999986</v>
      </c>
      <c r="M38" s="45">
        <v>68508.66</v>
      </c>
      <c r="N38" s="31">
        <v>61567.9</v>
      </c>
      <c r="O38" s="8">
        <v>58892</v>
      </c>
      <c r="P38" s="8">
        <v>36638</v>
      </c>
      <c r="Q38" s="25">
        <v>41330</v>
      </c>
      <c r="S38" s="32">
        <f>'State eml Scott France'!I7*0.9</f>
        <v>12707.1</v>
      </c>
      <c r="T38" s="32">
        <f>'State eml Scott France'!J7*0.9</f>
        <v>46217.322266031115</v>
      </c>
      <c r="U38" s="32">
        <f t="shared" ref="U38:U40" si="17">S38+T38</f>
        <v>58924.422266031113</v>
      </c>
    </row>
    <row r="39" spans="2:21" ht="12.75" customHeight="1" x14ac:dyDescent="0.2">
      <c r="B39" s="2" t="s">
        <v>9</v>
      </c>
      <c r="C39" s="55">
        <f t="shared" si="16"/>
        <v>62032.573418566375</v>
      </c>
      <c r="D39" s="55">
        <v>65236.946053694803</v>
      </c>
      <c r="E39" s="8">
        <f>C39-D39</f>
        <v>-3204.3726351284276</v>
      </c>
      <c r="F39" s="9">
        <f>-1+(C39/D39)</f>
        <v>-4.9118985926946857E-2</v>
      </c>
      <c r="H39" s="45">
        <v>66765.776934525667</v>
      </c>
      <c r="I39" s="45">
        <v>99272.700000000012</v>
      </c>
      <c r="J39" s="45">
        <v>84763.332784715458</v>
      </c>
      <c r="K39" s="45">
        <v>75122.519600750951</v>
      </c>
      <c r="L39" s="45">
        <v>68763.22</v>
      </c>
      <c r="M39" s="45">
        <v>52464.71</v>
      </c>
      <c r="N39" s="31">
        <v>51740.75</v>
      </c>
      <c r="O39" s="8">
        <v>48509</v>
      </c>
      <c r="P39" s="8">
        <v>28172</v>
      </c>
      <c r="Q39" s="25">
        <v>32670</v>
      </c>
      <c r="S39" s="32">
        <f>'State eml Scott France'!I8*0.9</f>
        <v>13377.6</v>
      </c>
      <c r="T39" s="32">
        <f>'State eml Scott France'!J8*0.9</f>
        <v>48654.973418566376</v>
      </c>
      <c r="U39" s="32">
        <f t="shared" si="17"/>
        <v>62032.573418566375</v>
      </c>
    </row>
    <row r="40" spans="2:21" ht="12.75" customHeight="1" thickBot="1" x14ac:dyDescent="0.25">
      <c r="B40" s="2" t="s">
        <v>10</v>
      </c>
      <c r="C40" s="55">
        <f t="shared" si="16"/>
        <v>127867.59189956493</v>
      </c>
      <c r="D40" s="55">
        <v>185833.14078590198</v>
      </c>
      <c r="E40" s="46">
        <f>C40-D40</f>
        <v>-57965.548886337056</v>
      </c>
      <c r="F40" s="9">
        <f>-1+(C40/D40)</f>
        <v>-0.31192255935188151</v>
      </c>
      <c r="H40" s="45">
        <v>207722.31581072207</v>
      </c>
      <c r="I40" s="45">
        <v>188914</v>
      </c>
      <c r="J40" s="45">
        <v>203299.59235412348</v>
      </c>
      <c r="K40" s="45">
        <v>221058.8134061333</v>
      </c>
      <c r="L40" s="45">
        <v>173301.71</v>
      </c>
      <c r="M40" s="45">
        <v>137771.12</v>
      </c>
      <c r="N40" s="50">
        <v>134289.79999999999</v>
      </c>
      <c r="O40" s="8">
        <v>106973</v>
      </c>
      <c r="P40" s="8">
        <v>58678</v>
      </c>
      <c r="Q40" s="25">
        <v>102070</v>
      </c>
      <c r="S40" s="32">
        <f>'State eml Scott France'!I9*0.9</f>
        <v>27575.100000000002</v>
      </c>
      <c r="T40" s="32">
        <f>'State eml Scott France'!J9*0.9</f>
        <v>100292.49189956492</v>
      </c>
      <c r="U40" s="32">
        <f t="shared" si="17"/>
        <v>127867.59189956493</v>
      </c>
    </row>
    <row r="41" spans="2:21" ht="12.75" customHeight="1" thickBot="1" x14ac:dyDescent="0.25">
      <c r="C41" s="56">
        <f>SUM(C37:C40)</f>
        <v>338771.2260882103</v>
      </c>
      <c r="D41" s="56">
        <v>406207.90000000008</v>
      </c>
      <c r="E41" s="45">
        <f t="shared" ref="E41" si="18">SUM(E37:E40)</f>
        <v>-67436.673911789752</v>
      </c>
      <c r="F41" s="39">
        <f>-1+(C41/D41)</f>
        <v>-0.16601517083195516</v>
      </c>
      <c r="H41" s="45">
        <f t="shared" ref="H41:M41" si="19">SUM(H37:H40)</f>
        <v>455273.11680645985</v>
      </c>
      <c r="I41" s="45">
        <f t="shared" si="19"/>
        <v>591135.69999999995</v>
      </c>
      <c r="J41" s="45">
        <f t="shared" si="19"/>
        <v>545168.2287703536</v>
      </c>
      <c r="K41" s="45">
        <f t="shared" si="19"/>
        <v>554080.33828643512</v>
      </c>
      <c r="L41" s="45">
        <f t="shared" si="19"/>
        <v>519129</v>
      </c>
      <c r="M41" s="45">
        <f t="shared" si="19"/>
        <v>415781</v>
      </c>
      <c r="N41" s="31">
        <f t="shared" ref="N41" si="20">SUM(N37:N40)</f>
        <v>400062.99999999994</v>
      </c>
      <c r="O41" s="11">
        <f>SUM(O37:O40)</f>
        <v>333733</v>
      </c>
      <c r="P41" s="11">
        <f>SUM(P37:P40)</f>
        <v>231656</v>
      </c>
      <c r="Q41" s="26">
        <f>SUM(Q37:Q40)</f>
        <v>204653</v>
      </c>
      <c r="S41" s="120">
        <f>SUM(S37:S40)</f>
        <v>73057.5</v>
      </c>
      <c r="T41" s="121">
        <f>SUM(T37:T40)</f>
        <v>265713.7260882103</v>
      </c>
      <c r="U41" s="120">
        <f>SUM(U37:U40)</f>
        <v>338771.2260882103</v>
      </c>
    </row>
    <row r="42" spans="2:21" ht="12.75" customHeight="1" x14ac:dyDescent="0.2">
      <c r="C42" s="32"/>
      <c r="D42" s="32"/>
      <c r="E42" s="13"/>
      <c r="F42" s="14"/>
      <c r="H42" s="13"/>
      <c r="I42" s="13"/>
      <c r="J42" s="13"/>
      <c r="K42" s="13"/>
      <c r="L42" s="13"/>
      <c r="M42" s="13"/>
      <c r="N42" s="32"/>
      <c r="O42" s="13"/>
      <c r="P42" s="13"/>
      <c r="S42" s="32">
        <f>S41+S32</f>
        <v>81175</v>
      </c>
      <c r="T42" s="32">
        <f>T41+T32</f>
        <v>295237.47343134478</v>
      </c>
      <c r="U42" s="32"/>
    </row>
    <row r="43" spans="2:21" ht="12.75" customHeight="1" x14ac:dyDescent="0.2">
      <c r="C43" s="32"/>
      <c r="D43" s="32"/>
      <c r="N43" s="32"/>
    </row>
    <row r="44" spans="2:21" ht="12.75" hidden="1" customHeight="1" x14ac:dyDescent="0.2">
      <c r="C44" s="32"/>
      <c r="D44" s="32"/>
      <c r="N44" s="32"/>
    </row>
    <row r="45" spans="2:21" ht="12.75" hidden="1" customHeight="1" x14ac:dyDescent="0.2">
      <c r="C45" s="32"/>
      <c r="D45" s="32"/>
      <c r="N45" s="32"/>
    </row>
    <row r="46" spans="2:21" ht="17.25" customHeight="1" x14ac:dyDescent="0.25">
      <c r="B46" s="7" t="s">
        <v>70</v>
      </c>
      <c r="C46" s="32"/>
      <c r="D46" s="32"/>
      <c r="N46" s="32"/>
    </row>
    <row r="47" spans="2:21" ht="12.75" customHeight="1" x14ac:dyDescent="0.2">
      <c r="B47" s="18" t="s">
        <v>3</v>
      </c>
      <c r="C47" s="51" t="s">
        <v>191</v>
      </c>
      <c r="D47" s="51" t="s">
        <v>164</v>
      </c>
      <c r="E47" s="24" t="s">
        <v>24</v>
      </c>
      <c r="F47" s="24" t="s">
        <v>23</v>
      </c>
      <c r="H47" s="51" t="s">
        <v>145</v>
      </c>
      <c r="I47" s="51" t="s">
        <v>134</v>
      </c>
      <c r="J47" s="51" t="s">
        <v>111</v>
      </c>
      <c r="K47" s="51" t="s">
        <v>135</v>
      </c>
      <c r="L47" s="51" t="s">
        <v>43</v>
      </c>
      <c r="M47" s="51" t="s">
        <v>36</v>
      </c>
      <c r="N47" s="51" t="s">
        <v>136</v>
      </c>
      <c r="O47" s="36" t="s">
        <v>137</v>
      </c>
      <c r="P47" s="36" t="s">
        <v>138</v>
      </c>
      <c r="Q47" s="33" t="s">
        <v>21</v>
      </c>
      <c r="T47" s="107"/>
    </row>
    <row r="48" spans="2:21" ht="12.75" customHeight="1" x14ac:dyDescent="0.2">
      <c r="B48" s="2" t="s">
        <v>7</v>
      </c>
      <c r="C48" s="30">
        <f>'State eml Scott France'!L6*0.04</f>
        <v>2963.9790089404846</v>
      </c>
      <c r="D48" s="30">
        <v>3432.1447447439105</v>
      </c>
      <c r="E48" s="8">
        <f t="shared" ref="E48:E53" si="21">C48-D48</f>
        <v>-468.16573580342583</v>
      </c>
      <c r="F48" s="9">
        <f t="shared" ref="F48:F53" si="22">-1+(C48/D48)</f>
        <v>-0.1364061747455112</v>
      </c>
      <c r="H48" s="30">
        <v>3910.4184725694954</v>
      </c>
      <c r="I48" s="30">
        <v>7997.72</v>
      </c>
      <c r="J48" s="30">
        <v>4921.2379251626808</v>
      </c>
      <c r="K48" s="30">
        <v>3853.2622609954697</v>
      </c>
      <c r="L48" s="30">
        <v>4253.3999999999996</v>
      </c>
      <c r="M48" s="30">
        <v>2799.01</v>
      </c>
      <c r="N48" s="30">
        <v>2190.2959999999998</v>
      </c>
      <c r="O48" s="8">
        <v>1442.6440000000002</v>
      </c>
      <c r="P48" s="8">
        <v>1293.8320000000001</v>
      </c>
      <c r="Q48" s="29">
        <v>2036</v>
      </c>
      <c r="T48" s="107"/>
    </row>
    <row r="49" spans="2:20" ht="12.75" customHeight="1" x14ac:dyDescent="0.2">
      <c r="B49" s="2" t="s">
        <v>8</v>
      </c>
      <c r="C49" s="30">
        <f>'State eml Scott France'!L7*0.04</f>
        <v>2653.8244110470209</v>
      </c>
      <c r="D49" s="30">
        <v>3542.8920292277166</v>
      </c>
      <c r="E49" s="8">
        <f t="shared" si="21"/>
        <v>-889.06761818069572</v>
      </c>
      <c r="F49" s="9">
        <f t="shared" si="22"/>
        <v>-0.25094403409592347</v>
      </c>
      <c r="H49" s="30">
        <v>4114.3777660585465</v>
      </c>
      <c r="I49" s="30">
        <v>5278.68</v>
      </c>
      <c r="J49" s="30">
        <v>3940.7546689156206</v>
      </c>
      <c r="K49" s="30">
        <v>3248.1932610225649</v>
      </c>
      <c r="L49" s="30">
        <v>3147.7200000000003</v>
      </c>
      <c r="M49" s="30">
        <v>2080.59</v>
      </c>
      <c r="N49" s="30">
        <v>1943.5160000000001</v>
      </c>
      <c r="O49" s="8">
        <v>1759.3200000000002</v>
      </c>
      <c r="P49" s="8">
        <v>1737.36</v>
      </c>
      <c r="Q49" s="30">
        <v>2688</v>
      </c>
      <c r="T49" s="107"/>
    </row>
    <row r="50" spans="2:20" ht="12.75" customHeight="1" x14ac:dyDescent="0.2">
      <c r="B50" s="2" t="s">
        <v>9</v>
      </c>
      <c r="C50" s="30">
        <f>'State eml Scott France'!L8*0.04</f>
        <v>1977.1114335300538</v>
      </c>
      <c r="D50" s="30">
        <v>2714.8008091477341</v>
      </c>
      <c r="E50" s="8">
        <f t="shared" si="21"/>
        <v>-737.6893756176803</v>
      </c>
      <c r="F50" s="9">
        <f t="shared" si="22"/>
        <v>-0.27172872983239804</v>
      </c>
      <c r="H50" s="30">
        <v>2840.1259390385612</v>
      </c>
      <c r="I50" s="30">
        <v>5019.5600000000004</v>
      </c>
      <c r="J50" s="30">
        <v>3371.3087341660712</v>
      </c>
      <c r="K50" s="30">
        <v>2636.2756834755978</v>
      </c>
      <c r="L50" s="30">
        <v>2567.08</v>
      </c>
      <c r="M50" s="30">
        <v>1596.86</v>
      </c>
      <c r="N50" s="30">
        <v>1481.4960000000001</v>
      </c>
      <c r="O50" s="8">
        <v>1488.2280000000001</v>
      </c>
      <c r="P50" s="8">
        <v>1584.924</v>
      </c>
      <c r="Q50" s="30">
        <v>1915</v>
      </c>
      <c r="T50" s="107"/>
    </row>
    <row r="51" spans="2:20" ht="12.75" customHeight="1" x14ac:dyDescent="0.2">
      <c r="B51" s="2" t="s">
        <v>10</v>
      </c>
      <c r="C51" s="30">
        <f>'State eml Scott France'!L9*0.04</f>
        <v>10956.831810790511</v>
      </c>
      <c r="D51" s="30">
        <v>12914.88241688064</v>
      </c>
      <c r="E51" s="8">
        <f t="shared" si="21"/>
        <v>-1958.0506060901298</v>
      </c>
      <c r="F51" s="9">
        <f t="shared" si="22"/>
        <v>-0.15161195765366187</v>
      </c>
      <c r="H51" s="30">
        <v>13843.177083049515</v>
      </c>
      <c r="I51" s="30">
        <v>15374.48</v>
      </c>
      <c r="J51" s="30">
        <v>12433.9576300176</v>
      </c>
      <c r="K51" s="30">
        <v>10775.808739940587</v>
      </c>
      <c r="L51" s="30">
        <v>8923.56</v>
      </c>
      <c r="M51" s="30">
        <v>5418.14</v>
      </c>
      <c r="N51" s="30">
        <v>4796.2920000000004</v>
      </c>
      <c r="O51" s="8">
        <v>4646.2080000000005</v>
      </c>
      <c r="P51" s="8">
        <v>5179.0839999999998</v>
      </c>
      <c r="Q51" s="30">
        <v>5158</v>
      </c>
    </row>
    <row r="52" spans="2:20" ht="12.75" customHeight="1" thickBot="1" x14ac:dyDescent="0.25">
      <c r="B52" s="2" t="s">
        <v>11</v>
      </c>
      <c r="C52" s="30">
        <f>'State eml Scott France'!L10*0.06</f>
        <v>27827.619996462105</v>
      </c>
      <c r="D52" s="30">
        <v>33908.58</v>
      </c>
      <c r="E52" s="8">
        <f t="shared" si="21"/>
        <v>-6080.9600035378971</v>
      </c>
      <c r="F52" s="9">
        <f t="shared" si="22"/>
        <v>-0.17933396218708941</v>
      </c>
      <c r="H52" s="30">
        <v>37062.148891074175</v>
      </c>
      <c r="I52" s="30">
        <v>50505.659999999996</v>
      </c>
      <c r="J52" s="52">
        <v>37000.888437392954</v>
      </c>
      <c r="K52" s="52">
        <v>30770.309918151328</v>
      </c>
      <c r="L52" s="52">
        <v>28337.239999999998</v>
      </c>
      <c r="M52" s="30">
        <v>17843.399999999998</v>
      </c>
      <c r="N52" s="52">
        <v>15617.4</v>
      </c>
      <c r="O52" s="8">
        <v>14004.6</v>
      </c>
      <c r="P52" s="8">
        <v>14692.8</v>
      </c>
      <c r="Q52" s="30">
        <v>17696</v>
      </c>
    </row>
    <row r="53" spans="2:20" ht="12.75" customHeight="1" thickBot="1" x14ac:dyDescent="0.25">
      <c r="C53" s="56">
        <f>SUM(C48:C52)</f>
        <v>46379.366660770174</v>
      </c>
      <c r="D53" s="56">
        <v>56514.3</v>
      </c>
      <c r="E53" s="11">
        <f t="shared" si="21"/>
        <v>-10134.933339229829</v>
      </c>
      <c r="F53" s="9">
        <f t="shared" si="22"/>
        <v>-0.17933396218708941</v>
      </c>
      <c r="H53" s="11">
        <f>SUM(H48:H52)</f>
        <v>61770.248151790292</v>
      </c>
      <c r="I53" s="11">
        <f>SUM(I48:I52)</f>
        <v>84176.1</v>
      </c>
      <c r="J53" s="45">
        <f>SUM(J48:J52)</f>
        <v>61668.147395654923</v>
      </c>
      <c r="K53" s="45">
        <f t="shared" ref="K53:P53" si="23">SUM(K48:K52)</f>
        <v>51283.84986358555</v>
      </c>
      <c r="L53" s="31">
        <f t="shared" si="23"/>
        <v>47229</v>
      </c>
      <c r="M53" s="11">
        <f t="shared" si="23"/>
        <v>29738</v>
      </c>
      <c r="N53" s="31">
        <f t="shared" si="23"/>
        <v>26029</v>
      </c>
      <c r="O53" s="11">
        <f t="shared" si="23"/>
        <v>23341</v>
      </c>
      <c r="P53" s="11">
        <f t="shared" si="23"/>
        <v>24488</v>
      </c>
      <c r="Q53" s="31">
        <v>29493</v>
      </c>
    </row>
    <row r="54" spans="2:20" ht="12.75" customHeight="1" x14ac:dyDescent="0.2">
      <c r="C54" s="32"/>
      <c r="D54" s="32"/>
      <c r="H54" s="32"/>
      <c r="I54" s="32"/>
      <c r="J54" s="32"/>
      <c r="K54" s="32"/>
      <c r="L54" s="32"/>
      <c r="M54" s="32"/>
      <c r="N54" s="32"/>
      <c r="Q54" s="32"/>
    </row>
    <row r="55" spans="2:20" ht="12.75" customHeight="1" x14ac:dyDescent="0.2">
      <c r="C55" s="32"/>
      <c r="D55" s="32"/>
      <c r="H55" s="32"/>
      <c r="I55" s="32"/>
      <c r="J55" s="32"/>
      <c r="K55" s="32"/>
      <c r="L55" s="32"/>
      <c r="M55" s="32"/>
      <c r="N55" s="32"/>
      <c r="Q55" s="32"/>
    </row>
    <row r="56" spans="2:20" ht="12.75" customHeight="1" x14ac:dyDescent="0.25">
      <c r="B56" s="7" t="s">
        <v>71</v>
      </c>
      <c r="C56" s="32"/>
      <c r="D56" s="32"/>
      <c r="H56" s="32"/>
      <c r="I56" s="32"/>
      <c r="J56" s="32"/>
      <c r="K56" s="32"/>
      <c r="L56" s="32"/>
      <c r="M56" s="32"/>
      <c r="N56" s="32"/>
      <c r="Q56" s="32"/>
    </row>
    <row r="57" spans="2:20" ht="12.75" customHeight="1" x14ac:dyDescent="0.2">
      <c r="B57" s="18" t="s">
        <v>3</v>
      </c>
      <c r="C57" s="51" t="str">
        <f>C47</f>
        <v>PY 23</v>
      </c>
      <c r="D57" s="51" t="s">
        <v>164</v>
      </c>
      <c r="E57" s="24" t="s">
        <v>24</v>
      </c>
      <c r="F57" s="24" t="s">
        <v>23</v>
      </c>
      <c r="H57" s="51" t="s">
        <v>145</v>
      </c>
      <c r="I57" s="51" t="str">
        <f>I47</f>
        <v>PY 20</v>
      </c>
      <c r="J57" s="51" t="str">
        <f>J47</f>
        <v xml:space="preserve">PY19 </v>
      </c>
      <c r="K57" s="51" t="str">
        <f t="shared" ref="K57:P57" si="24">K47</f>
        <v xml:space="preserve">PY18 </v>
      </c>
      <c r="L57" s="51" t="str">
        <f t="shared" si="24"/>
        <v>PY17 Final</v>
      </c>
      <c r="M57" s="51" t="str">
        <f t="shared" si="24"/>
        <v>PY16 Final</v>
      </c>
      <c r="N57" s="51" t="str">
        <f t="shared" si="24"/>
        <v xml:space="preserve">PY15 </v>
      </c>
      <c r="O57" s="28" t="str">
        <f t="shared" si="24"/>
        <v>PY14</v>
      </c>
      <c r="P57" s="36" t="str">
        <f t="shared" si="24"/>
        <v>PY13</v>
      </c>
      <c r="Q57" s="33" t="s">
        <v>21</v>
      </c>
    </row>
    <row r="58" spans="2:20" ht="12.75" customHeight="1" x14ac:dyDescent="0.2">
      <c r="B58" s="2" t="s">
        <v>7</v>
      </c>
      <c r="C58" s="30">
        <f>'State eml Scott France'!L6*0.9</f>
        <v>66689.5277011609</v>
      </c>
      <c r="D58" s="30">
        <v>77223.256756737974</v>
      </c>
      <c r="E58" s="8">
        <f>C58-D58</f>
        <v>-10533.729055577074</v>
      </c>
      <c r="F58" s="9">
        <f>-1+(C58/D58)</f>
        <v>-0.13640617474551109</v>
      </c>
      <c r="H58" s="30">
        <v>87984.415632813645</v>
      </c>
      <c r="I58" s="30">
        <v>179948.7</v>
      </c>
      <c r="J58" s="30">
        <v>110727.85331616033</v>
      </c>
      <c r="K58" s="30">
        <v>86698.400872398066</v>
      </c>
      <c r="L58" s="30">
        <v>95701.39</v>
      </c>
      <c r="M58" s="30">
        <v>62977.34</v>
      </c>
      <c r="N58" s="30">
        <v>49275.12</v>
      </c>
      <c r="O58" s="8">
        <v>32458.95</v>
      </c>
      <c r="P58" s="8">
        <v>29111.09</v>
      </c>
      <c r="Q58" s="29">
        <v>45806</v>
      </c>
    </row>
    <row r="59" spans="2:20" ht="12.75" customHeight="1" x14ac:dyDescent="0.2">
      <c r="B59" s="2" t="s">
        <v>8</v>
      </c>
      <c r="C59" s="30">
        <f>'State eml Scott France'!L7*0.9</f>
        <v>59711.049248557967</v>
      </c>
      <c r="D59" s="30">
        <v>79715.070657623626</v>
      </c>
      <c r="E59" s="8">
        <f>C59-D59</f>
        <v>-20004.021409065659</v>
      </c>
      <c r="F59" s="9">
        <f>-1+(C59/D59)</f>
        <v>-0.25094403409592358</v>
      </c>
      <c r="H59" s="30">
        <v>92573.499736317288</v>
      </c>
      <c r="I59" s="30">
        <v>118770.3</v>
      </c>
      <c r="J59" s="30">
        <v>88666.980050601458</v>
      </c>
      <c r="K59" s="30">
        <v>73084.348373007713</v>
      </c>
      <c r="L59" s="30">
        <v>70823.56</v>
      </c>
      <c r="M59" s="30">
        <v>46824.45</v>
      </c>
      <c r="N59" s="30">
        <v>43728.45</v>
      </c>
      <c r="O59" s="8">
        <v>39584.300000000003</v>
      </c>
      <c r="P59" s="8">
        <v>39091.47</v>
      </c>
      <c r="Q59" s="30">
        <v>60495</v>
      </c>
    </row>
    <row r="60" spans="2:20" ht="12.75" customHeight="1" x14ac:dyDescent="0.2">
      <c r="B60" s="2" t="s">
        <v>9</v>
      </c>
      <c r="C60" s="30">
        <f>'State eml Scott France'!L8*0.9</f>
        <v>44485.007254426208</v>
      </c>
      <c r="D60" s="30">
        <v>61083.01820582401</v>
      </c>
      <c r="E60" s="8">
        <f>C60-D60</f>
        <v>-16598.010951397802</v>
      </c>
      <c r="F60" s="9">
        <f>-1+(C60/D60)</f>
        <v>-0.27172872983239804</v>
      </c>
      <c r="H60" s="30">
        <v>63903.833628367625</v>
      </c>
      <c r="I60" s="30">
        <v>112940.1</v>
      </c>
      <c r="J60" s="30">
        <v>75854.4465187366</v>
      </c>
      <c r="K60" s="30">
        <v>59316.202878200951</v>
      </c>
      <c r="L60" s="30">
        <v>57759.56</v>
      </c>
      <c r="M60" s="30">
        <v>35937.519999999997</v>
      </c>
      <c r="N60" s="30">
        <v>33333.94</v>
      </c>
      <c r="O60" s="8">
        <v>33483.57</v>
      </c>
      <c r="P60" s="8">
        <v>35659.57</v>
      </c>
      <c r="Q60" s="30">
        <v>43091</v>
      </c>
    </row>
    <row r="61" spans="2:20" ht="13.5" thickBot="1" x14ac:dyDescent="0.25">
      <c r="B61" s="2" t="s">
        <v>10</v>
      </c>
      <c r="C61" s="30">
        <f>'State eml Scott France'!L9*0.9</f>
        <v>246528.71574278647</v>
      </c>
      <c r="D61" s="30">
        <v>290608.35437981441</v>
      </c>
      <c r="E61" s="8">
        <f>C61-D61</f>
        <v>-44079.638637027936</v>
      </c>
      <c r="F61" s="9">
        <f>-1+(C61/D61)</f>
        <v>-0.15168056242257055</v>
      </c>
      <c r="H61" s="52">
        <v>311471.4843686141</v>
      </c>
      <c r="I61" s="52">
        <v>345925.8</v>
      </c>
      <c r="J61" s="52">
        <v>279764.04667539604</v>
      </c>
      <c r="K61" s="52">
        <v>242455.6966486632</v>
      </c>
      <c r="L61" s="52">
        <v>200779.49</v>
      </c>
      <c r="M61" s="52">
        <v>121913.69</v>
      </c>
      <c r="N61" s="52">
        <v>107921.49</v>
      </c>
      <c r="O61" s="8">
        <v>104539.18</v>
      </c>
      <c r="P61" s="8">
        <v>116527.87</v>
      </c>
      <c r="Q61" s="30">
        <v>116044</v>
      </c>
    </row>
    <row r="62" spans="2:20" ht="13.5" thickBot="1" x14ac:dyDescent="0.25">
      <c r="C62" s="57">
        <f>SUM(C58:C61)</f>
        <v>417414.29994693154</v>
      </c>
      <c r="D62" s="57">
        <v>508628.7</v>
      </c>
      <c r="E62" s="11">
        <f>C62-D62</f>
        <v>-91214.400053068472</v>
      </c>
      <c r="F62" s="9">
        <f>-1+(C62/D62)</f>
        <v>-0.17933396218708941</v>
      </c>
      <c r="H62" s="31">
        <f>SUM(H58:H61)</f>
        <v>555933.23336611269</v>
      </c>
      <c r="I62" s="31">
        <f>SUM(I58:I61)</f>
        <v>757584.89999999991</v>
      </c>
      <c r="J62" s="31">
        <f>SUM(J58:J61)</f>
        <v>555013.32656089449</v>
      </c>
      <c r="K62" s="31">
        <f t="shared" ref="K62:P62" si="25">SUM(K58:K61)</f>
        <v>461554.64877226995</v>
      </c>
      <c r="L62" s="31">
        <f t="shared" si="25"/>
        <v>425064</v>
      </c>
      <c r="M62" s="31">
        <f t="shared" si="25"/>
        <v>267653</v>
      </c>
      <c r="N62" s="31">
        <f t="shared" si="25"/>
        <v>234259</v>
      </c>
      <c r="O62" s="11">
        <f t="shared" si="25"/>
        <v>210066</v>
      </c>
      <c r="P62" s="11">
        <f t="shared" si="25"/>
        <v>220390</v>
      </c>
      <c r="Q62" s="30">
        <v>265436</v>
      </c>
    </row>
    <row r="63" spans="2:20" x14ac:dyDescent="0.2">
      <c r="C63" s="32">
        <f>C53+C62</f>
        <v>463793.66660770169</v>
      </c>
      <c r="D63" s="32"/>
      <c r="H63" s="32"/>
      <c r="I63" s="32"/>
      <c r="J63" s="32"/>
      <c r="K63" s="32"/>
      <c r="L63" s="32"/>
      <c r="M63" s="32"/>
      <c r="N63" s="32"/>
      <c r="Q63" s="32"/>
    </row>
    <row r="64" spans="2:20" x14ac:dyDescent="0.2">
      <c r="B64" s="23" t="s">
        <v>26</v>
      </c>
      <c r="C64" s="13">
        <f>C13+C22+C32+C41+C53+C62</f>
        <v>1292096.378481169</v>
      </c>
      <c r="D64" s="13">
        <f>D13+D22+D32+D41+D53+D62</f>
        <v>1565403</v>
      </c>
      <c r="H64" s="13">
        <f>H13+H22+H32+H41+H53+H62</f>
        <v>1727051.304855302</v>
      </c>
      <c r="I64" s="13">
        <f>I13+I22+I32+I41+I53+I62</f>
        <v>2315987</v>
      </c>
      <c r="J64" s="13">
        <f>J13+J22+J32+J41+J53+J62</f>
        <v>1827685.5198759558</v>
      </c>
      <c r="K64" s="13">
        <f>K13+K22+K32+K41+K53+K62</f>
        <v>1631897.6641830297</v>
      </c>
      <c r="L64" s="13">
        <f t="shared" ref="L64:Q64" si="26">L13+L22+L32+L41+L53+L62</f>
        <v>1512000</v>
      </c>
      <c r="M64" s="13">
        <f t="shared" si="26"/>
        <v>1058610</v>
      </c>
      <c r="N64" s="13">
        <f t="shared" si="26"/>
        <v>973092.99</v>
      </c>
      <c r="O64" s="13">
        <f t="shared" si="26"/>
        <v>845539.99</v>
      </c>
      <c r="P64" s="13">
        <f t="shared" si="26"/>
        <v>745119</v>
      </c>
      <c r="Q64" s="13">
        <f t="shared" si="26"/>
        <v>804617</v>
      </c>
    </row>
    <row r="65" spans="2:16" x14ac:dyDescent="0.2">
      <c r="B65" t="s">
        <v>32</v>
      </c>
      <c r="C65" s="38">
        <f>C64/D64</f>
        <v>0.82540813993659712</v>
      </c>
      <c r="D65" s="38">
        <f>D64/H64</f>
        <v>0.90640214080447057</v>
      </c>
      <c r="H65" s="38">
        <f>H64/I64</f>
        <v>0.74570854881970494</v>
      </c>
      <c r="I65" s="38">
        <f>I64/J64</f>
        <v>1.2671693104824648</v>
      </c>
      <c r="J65" s="38">
        <f>J64/K64</f>
        <v>1.119975571992097</v>
      </c>
      <c r="K65" s="38">
        <f t="shared" ref="K65:P65" si="27">K64/L64</f>
        <v>1.0792973969464481</v>
      </c>
      <c r="L65" s="38">
        <f t="shared" si="27"/>
        <v>1.428288038087681</v>
      </c>
      <c r="M65" s="38">
        <f t="shared" si="27"/>
        <v>1.0878816422261968</v>
      </c>
      <c r="N65" s="38">
        <f t="shared" si="27"/>
        <v>1.1508538939713544</v>
      </c>
      <c r="O65" s="38">
        <f t="shared" si="27"/>
        <v>1.1347717478684614</v>
      </c>
      <c r="P65" s="38">
        <f t="shared" si="27"/>
        <v>0.92605425935569341</v>
      </c>
    </row>
    <row r="67" spans="2:16" x14ac:dyDescent="0.2">
      <c r="C67" t="s">
        <v>106</v>
      </c>
      <c r="D67" s="23" t="s">
        <v>108</v>
      </c>
      <c r="E67" s="13"/>
      <c r="J67" s="13"/>
    </row>
    <row r="68" spans="2:16" x14ac:dyDescent="0.2">
      <c r="B68" s="23" t="s">
        <v>7</v>
      </c>
      <c r="C68" s="13">
        <f>C18+C37+C58</f>
        <v>221838.91893176097</v>
      </c>
      <c r="D68" s="32">
        <f>C8+C27+C48</f>
        <v>9859.5075080782663</v>
      </c>
      <c r="E68" s="13"/>
      <c r="J68" s="13"/>
    </row>
    <row r="69" spans="2:16" x14ac:dyDescent="0.2">
      <c r="B69" s="23" t="s">
        <v>8</v>
      </c>
      <c r="C69" s="13">
        <f>C19+C38+C59</f>
        <v>178927.14027109437</v>
      </c>
      <c r="D69" s="32">
        <f>C9+C28+C49</f>
        <v>7952.3173453819709</v>
      </c>
      <c r="E69" s="13"/>
      <c r="J69" s="13"/>
    </row>
    <row r="70" spans="2:16" x14ac:dyDescent="0.2">
      <c r="B70" s="23" t="s">
        <v>9</v>
      </c>
      <c r="C70" s="13">
        <f>C20+C39+C60</f>
        <v>175497.75745756325</v>
      </c>
      <c r="D70" s="32">
        <f>C10+C29+C50</f>
        <v>7799.9003314472548</v>
      </c>
      <c r="E70" s="13"/>
      <c r="J70" s="13"/>
    </row>
    <row r="71" spans="2:16" x14ac:dyDescent="0.2">
      <c r="B71" s="23" t="s">
        <v>155</v>
      </c>
      <c r="C71" s="13">
        <f>C21+C40+C61</f>
        <v>586622.92397263367</v>
      </c>
      <c r="D71" s="32">
        <f>C11+C30+C51</f>
        <v>26072.129954339274</v>
      </c>
    </row>
    <row r="72" spans="2:16" x14ac:dyDescent="0.2">
      <c r="B72" s="23" t="s">
        <v>11</v>
      </c>
      <c r="D72" s="155">
        <f>C12+C31+C52</f>
        <v>77525.782708870145</v>
      </c>
    </row>
    <row r="73" spans="2:16" ht="13.5" thickBot="1" x14ac:dyDescent="0.25">
      <c r="C73" s="147">
        <f>SUM(C68:C72)</f>
        <v>1162886.7406330523</v>
      </c>
      <c r="D73" s="118">
        <f>SUM(D68:D72)</f>
        <v>129209.63784811691</v>
      </c>
      <c r="E73" s="13">
        <f>C73+D73</f>
        <v>1292096.3784811692</v>
      </c>
    </row>
    <row r="74" spans="2:16" ht="13.5" thickTop="1" x14ac:dyDescent="0.2"/>
  </sheetData>
  <pageMargins left="0.75" right="0.75" top="1" bottom="1" header="0.5" footer="0.5"/>
  <pageSetup scale="5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73FFF-5988-4BED-9190-A7550D9D64BD}">
  <sheetPr>
    <pageSetUpPr fitToPage="1"/>
  </sheetPr>
  <dimension ref="A1:R24"/>
  <sheetViews>
    <sheetView topLeftCell="A11" workbookViewId="0">
      <selection activeCell="D25" sqref="D25"/>
    </sheetView>
  </sheetViews>
  <sheetFormatPr defaultColWidth="9.140625" defaultRowHeight="15.75" x14ac:dyDescent="0.25"/>
  <cols>
    <col min="1" max="1" width="9.28515625" style="180" bestFit="1" customWidth="1"/>
    <col min="2" max="2" width="11.28515625" style="180" bestFit="1" customWidth="1"/>
    <col min="3" max="3" width="9.140625" style="180"/>
    <col min="4" max="4" width="16.42578125" style="180" bestFit="1" customWidth="1"/>
    <col min="5" max="5" width="17.28515625" style="180" bestFit="1" customWidth="1"/>
    <col min="6" max="6" width="18.5703125" style="180" bestFit="1" customWidth="1"/>
    <col min="7" max="7" width="3" style="180" customWidth="1"/>
    <col min="8" max="10" width="15" style="180" customWidth="1"/>
    <col min="11" max="11" width="3" style="180" customWidth="1"/>
    <col min="12" max="12" width="13.85546875" style="180" bestFit="1" customWidth="1"/>
    <col min="13" max="13" width="3" style="180" customWidth="1"/>
    <col min="14" max="16" width="14" style="180" bestFit="1" customWidth="1"/>
    <col min="17" max="17" width="9.140625" style="180"/>
    <col min="18" max="18" width="9.85546875" style="180" bestFit="1" customWidth="1"/>
    <col min="19" max="19" width="9.140625" style="180"/>
    <col min="20" max="20" width="12.28515625" style="180" customWidth="1"/>
    <col min="21" max="16384" width="9.140625" style="180"/>
  </cols>
  <sheetData>
    <row r="1" spans="1:14" x14ac:dyDescent="0.25">
      <c r="A1" s="180" t="s">
        <v>39</v>
      </c>
    </row>
    <row r="2" spans="1:14" x14ac:dyDescent="0.25">
      <c r="A2" s="180" t="s">
        <v>206</v>
      </c>
    </row>
    <row r="3" spans="1:14" x14ac:dyDescent="0.25">
      <c r="A3" s="180" t="s">
        <v>205</v>
      </c>
    </row>
    <row r="5" spans="1:14" s="193" customFormat="1" ht="47.25" x14ac:dyDescent="0.25">
      <c r="D5" s="193" t="s">
        <v>204</v>
      </c>
      <c r="E5" s="193" t="s">
        <v>203</v>
      </c>
      <c r="F5" s="193" t="s">
        <v>202</v>
      </c>
      <c r="H5" s="193" t="s">
        <v>201</v>
      </c>
      <c r="I5" s="193" t="s">
        <v>200</v>
      </c>
      <c r="J5" s="193" t="s">
        <v>199</v>
      </c>
      <c r="L5" s="193" t="s">
        <v>167</v>
      </c>
      <c r="N5" s="193" t="s">
        <v>87</v>
      </c>
    </row>
    <row r="6" spans="1:14" x14ac:dyDescent="0.25">
      <c r="A6" s="185">
        <v>56</v>
      </c>
      <c r="B6" s="185" t="s">
        <v>7</v>
      </c>
      <c r="C6" s="188" t="s">
        <v>5</v>
      </c>
      <c r="D6" s="183">
        <v>72447.503029502433</v>
      </c>
      <c r="E6" s="183">
        <f>ROUND(D6*0.196674701,0)</f>
        <v>14249</v>
      </c>
      <c r="F6" s="183">
        <f>D6-E6</f>
        <v>58198.503029502433</v>
      </c>
      <c r="G6" s="191"/>
      <c r="H6" s="183">
        <v>99940.7094489421</v>
      </c>
      <c r="I6" s="183">
        <f>ROUND(H6*0.21565593,0)</f>
        <v>21553</v>
      </c>
      <c r="J6" s="183">
        <f>H6-I6</f>
        <v>78387.7094489421</v>
      </c>
      <c r="K6" s="191"/>
      <c r="L6" s="183">
        <v>74099.475223512112</v>
      </c>
      <c r="M6" s="191"/>
      <c r="N6" s="183">
        <f>D6+H6+L6</f>
        <v>246487.68770195666</v>
      </c>
    </row>
    <row r="7" spans="1:14" x14ac:dyDescent="0.25">
      <c r="A7" s="180">
        <v>58</v>
      </c>
      <c r="B7" s="180" t="s">
        <v>8</v>
      </c>
      <c r="C7" s="187" t="s">
        <v>5</v>
      </c>
      <c r="D7" s="186">
        <v>66990.743062783644</v>
      </c>
      <c r="E7" s="186">
        <f>ROUND(D7*0.196674701,0)</f>
        <v>13175</v>
      </c>
      <c r="F7" s="186">
        <f>D7-E7</f>
        <v>53815.743062783644</v>
      </c>
      <c r="G7" s="192"/>
      <c r="H7" s="186">
        <v>65471.580295590124</v>
      </c>
      <c r="I7" s="186">
        <f>ROUND(H7*0.21565593,0)</f>
        <v>14119</v>
      </c>
      <c r="J7" s="186">
        <f>H7-I7</f>
        <v>51352.580295590124</v>
      </c>
      <c r="K7" s="192"/>
      <c r="L7" s="186">
        <v>66345.610276175517</v>
      </c>
      <c r="M7" s="192"/>
      <c r="N7" s="186">
        <f>D7+H7+L7</f>
        <v>198807.93363454929</v>
      </c>
    </row>
    <row r="8" spans="1:14" x14ac:dyDescent="0.25">
      <c r="A8" s="185">
        <v>61</v>
      </c>
      <c r="B8" s="185" t="s">
        <v>9</v>
      </c>
      <c r="C8" s="188" t="s">
        <v>5</v>
      </c>
      <c r="D8" s="183">
        <v>76644.640871745156</v>
      </c>
      <c r="E8" s="183">
        <f>ROUND(D8*0.196674701,0)</f>
        <v>15074</v>
      </c>
      <c r="F8" s="183">
        <f>D8-E8</f>
        <v>61570.640871745156</v>
      </c>
      <c r="G8" s="191"/>
      <c r="H8" s="183">
        <v>68925.081576184864</v>
      </c>
      <c r="I8" s="183">
        <f>ROUND(H8*0.21565593,0)</f>
        <v>14864</v>
      </c>
      <c r="J8" s="183">
        <f>H8-I8</f>
        <v>54061.081576184864</v>
      </c>
      <c r="K8" s="191"/>
      <c r="L8" s="183">
        <v>49427.785838251344</v>
      </c>
      <c r="M8" s="191"/>
      <c r="N8" s="183">
        <f>D8+H8+L8</f>
        <v>194997.50828618137</v>
      </c>
    </row>
    <row r="9" spans="1:14" x14ac:dyDescent="0.25">
      <c r="A9" s="180">
        <v>84</v>
      </c>
      <c r="B9" s="180" t="s">
        <v>10</v>
      </c>
      <c r="C9" s="187" t="s">
        <v>5</v>
      </c>
      <c r="D9" s="186">
        <v>235807.35147809135</v>
      </c>
      <c r="E9" s="186">
        <f>ROUND(D9*0.196674701,0)</f>
        <v>46377</v>
      </c>
      <c r="F9" s="186">
        <f>D9-E9</f>
        <v>189430.35147809135</v>
      </c>
      <c r="G9" s="192"/>
      <c r="H9" s="186">
        <v>142075.10211062769</v>
      </c>
      <c r="I9" s="186">
        <f>ROUND(H9*0.21565593,0)</f>
        <v>30639</v>
      </c>
      <c r="J9" s="186">
        <f>H9-I9</f>
        <v>111436.10211062769</v>
      </c>
      <c r="K9" s="192"/>
      <c r="L9" s="186">
        <v>273920.79526976275</v>
      </c>
      <c r="M9" s="192"/>
      <c r="N9" s="186">
        <f>D9+H9+L9</f>
        <v>651803.24885848176</v>
      </c>
    </row>
    <row r="10" spans="1:14" x14ac:dyDescent="0.25">
      <c r="A10" s="185"/>
      <c r="B10" s="185"/>
      <c r="C10" s="184" t="s">
        <v>168</v>
      </c>
      <c r="D10" s="183">
        <f>SUM(D6:D9)</f>
        <v>451890.23844212259</v>
      </c>
      <c r="E10" s="183">
        <f>SUM(E6:E9)</f>
        <v>88875</v>
      </c>
      <c r="F10" s="183">
        <f>SUM(F6:F9)</f>
        <v>363015.23844212259</v>
      </c>
      <c r="G10" s="191"/>
      <c r="H10" s="183">
        <f>SUM(H6:H9)</f>
        <v>376412.47343134478</v>
      </c>
      <c r="I10" s="183">
        <f>SUM(I6:I9)</f>
        <v>81175</v>
      </c>
      <c r="J10" s="183">
        <f>SUM(J6:J9)</f>
        <v>295237.47343134478</v>
      </c>
      <c r="K10" s="191"/>
      <c r="L10" s="183">
        <f>SUM(L6:L9)</f>
        <v>463793.66660770174</v>
      </c>
      <c r="M10" s="191"/>
      <c r="N10" s="183">
        <f>D10+H10+L10</f>
        <v>1292096.378481169</v>
      </c>
    </row>
    <row r="12" spans="1:14" x14ac:dyDescent="0.25">
      <c r="A12" s="190" t="s">
        <v>198</v>
      </c>
    </row>
    <row r="13" spans="1:14" x14ac:dyDescent="0.25">
      <c r="A13" s="190" t="s">
        <v>171</v>
      </c>
    </row>
    <row r="15" spans="1:14" x14ac:dyDescent="0.25">
      <c r="A15" s="180" t="s">
        <v>197</v>
      </c>
    </row>
    <row r="16" spans="1:14" x14ac:dyDescent="0.25">
      <c r="D16" s="180" t="s">
        <v>196</v>
      </c>
      <c r="E16" s="180" t="s">
        <v>195</v>
      </c>
      <c r="F16" s="180" t="s">
        <v>194</v>
      </c>
    </row>
    <row r="17" spans="1:18" x14ac:dyDescent="0.25">
      <c r="A17" s="185">
        <v>56</v>
      </c>
      <c r="B17" s="185" t="s">
        <v>7</v>
      </c>
      <c r="C17" s="188" t="s">
        <v>5</v>
      </c>
      <c r="D17" s="183">
        <v>86700</v>
      </c>
      <c r="E17" s="183">
        <v>11785</v>
      </c>
      <c r="F17" s="183">
        <f>D17+E17</f>
        <v>98485</v>
      </c>
      <c r="I17" s="181"/>
      <c r="N17" s="182"/>
      <c r="O17" s="182"/>
      <c r="P17" s="182"/>
    </row>
    <row r="18" spans="1:18" x14ac:dyDescent="0.25">
      <c r="A18" s="180">
        <v>58</v>
      </c>
      <c r="B18" s="180" t="s">
        <v>8</v>
      </c>
      <c r="C18" s="187" t="s">
        <v>5</v>
      </c>
      <c r="D18" s="186">
        <v>57670</v>
      </c>
      <c r="E18" s="186">
        <v>7839</v>
      </c>
      <c r="F18" s="186">
        <f>D18+E18</f>
        <v>65509</v>
      </c>
      <c r="I18" s="181"/>
      <c r="N18" s="182"/>
      <c r="O18" s="182"/>
      <c r="P18" s="182"/>
      <c r="R18" s="189"/>
    </row>
    <row r="19" spans="1:18" x14ac:dyDescent="0.25">
      <c r="A19" s="185">
        <v>61</v>
      </c>
      <c r="B19" s="185" t="s">
        <v>9</v>
      </c>
      <c r="C19" s="188" t="s">
        <v>5</v>
      </c>
      <c r="D19" s="183">
        <v>61586</v>
      </c>
      <c r="E19" s="183">
        <v>8372</v>
      </c>
      <c r="F19" s="183">
        <f>D19+E19</f>
        <v>69958</v>
      </c>
      <c r="I19" s="181"/>
      <c r="N19" s="182"/>
      <c r="O19" s="182"/>
      <c r="P19" s="182"/>
    </row>
    <row r="20" spans="1:18" x14ac:dyDescent="0.25">
      <c r="A20" s="180">
        <v>84</v>
      </c>
      <c r="B20" s="180" t="s">
        <v>10</v>
      </c>
      <c r="C20" s="187" t="s">
        <v>5</v>
      </c>
      <c r="D20" s="186">
        <v>154623</v>
      </c>
      <c r="E20" s="186">
        <v>21018</v>
      </c>
      <c r="F20" s="186">
        <f>D20+E20</f>
        <v>175641</v>
      </c>
      <c r="I20" s="181"/>
      <c r="N20" s="182"/>
      <c r="O20" s="182"/>
      <c r="P20" s="182"/>
    </row>
    <row r="21" spans="1:18" x14ac:dyDescent="0.25">
      <c r="A21" s="185"/>
      <c r="B21" s="185"/>
      <c r="C21" s="184" t="s">
        <v>168</v>
      </c>
      <c r="D21" s="183">
        <f>SUM(D17:D20)</f>
        <v>360579</v>
      </c>
      <c r="E21" s="183">
        <f>SUM(E17:E20)</f>
        <v>49014</v>
      </c>
      <c r="F21" s="183">
        <f>SUM(F17:F20)</f>
        <v>409593</v>
      </c>
      <c r="I21" s="181"/>
      <c r="O21" s="182"/>
      <c r="P21" s="182"/>
    </row>
    <row r="22" spans="1:18" x14ac:dyDescent="0.25">
      <c r="D22" s="181"/>
    </row>
    <row r="23" spans="1:18" x14ac:dyDescent="0.25">
      <c r="A23" s="180" t="s">
        <v>193</v>
      </c>
    </row>
    <row r="24" spans="1:18" x14ac:dyDescent="0.25">
      <c r="A24" s="180" t="s">
        <v>192</v>
      </c>
    </row>
  </sheetData>
  <pageMargins left="0.7" right="0.7" top="0.75" bottom="0.75" header="0.3" footer="0.3"/>
  <pageSetup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EE3C2-3F53-4F2E-A8DA-3CF534FD5C02}">
  <sheetPr>
    <pageSetUpPr fitToPage="1"/>
  </sheetPr>
  <dimension ref="B1:V74"/>
  <sheetViews>
    <sheetView topLeftCell="A26" zoomScale="118" zoomScaleNormal="118" workbookViewId="0">
      <selection activeCell="F54" sqref="F54"/>
    </sheetView>
  </sheetViews>
  <sheetFormatPr defaultColWidth="9.140625" defaultRowHeight="12.75" x14ac:dyDescent="0.2"/>
  <cols>
    <col min="1" max="1" width="9.140625" customWidth="1"/>
    <col min="2" max="2" width="15.7109375" customWidth="1"/>
    <col min="3" max="3" width="11.42578125" customWidth="1"/>
    <col min="4" max="4" width="11.28515625" customWidth="1"/>
    <col min="5" max="5" width="10.5703125" customWidth="1"/>
    <col min="6" max="6" width="11.140625" customWidth="1"/>
    <col min="8" max="9" width="11.28515625" customWidth="1"/>
    <col min="10" max="10" width="12" customWidth="1"/>
    <col min="11" max="11" width="9.85546875" hidden="1" customWidth="1"/>
    <col min="12" max="12" width="10.140625" hidden="1" customWidth="1"/>
    <col min="13" max="15" width="10.5703125" hidden="1" customWidth="1"/>
    <col min="16" max="16" width="11" hidden="1" customWidth="1"/>
    <col min="18" max="18" width="14.42578125" customWidth="1"/>
    <col min="19" max="19" width="11.5703125" style="101" customWidth="1"/>
    <col min="20" max="20" width="14.140625" customWidth="1"/>
  </cols>
  <sheetData>
    <row r="1" spans="2:22" s="7" customFormat="1" ht="20.25" x14ac:dyDescent="0.3">
      <c r="C1" s="15" t="s">
        <v>141</v>
      </c>
      <c r="J1" s="172">
        <f ca="1">NOW()</f>
        <v>45157.674522685185</v>
      </c>
      <c r="K1" s="172"/>
    </row>
    <row r="2" spans="2:22" s="7" customFormat="1" ht="15.75" x14ac:dyDescent="0.25">
      <c r="C2" s="7" t="s">
        <v>159</v>
      </c>
      <c r="F2" s="19"/>
      <c r="S2" s="100"/>
    </row>
    <row r="3" spans="2:22" s="7" customFormat="1" ht="15.75" x14ac:dyDescent="0.25">
      <c r="S3" s="100"/>
    </row>
    <row r="4" spans="2:22" s="7" customFormat="1" ht="15.75" x14ac:dyDescent="0.25">
      <c r="S4" s="100"/>
    </row>
    <row r="5" spans="2:22" s="7" customFormat="1" ht="15.75" x14ac:dyDescent="0.25">
      <c r="C5" s="7" t="s">
        <v>101</v>
      </c>
      <c r="H5" s="7" t="s">
        <v>160</v>
      </c>
      <c r="R5" s="7" t="s">
        <v>102</v>
      </c>
      <c r="S5" s="100"/>
    </row>
    <row r="6" spans="2:22" ht="16.5" thickBot="1" x14ac:dyDescent="0.3">
      <c r="B6" s="7" t="s">
        <v>68</v>
      </c>
    </row>
    <row r="7" spans="2:22" ht="39" customHeight="1" thickBot="1" x14ac:dyDescent="0.3">
      <c r="B7" s="18" t="s">
        <v>3</v>
      </c>
      <c r="C7" s="43" t="s">
        <v>163</v>
      </c>
      <c r="D7" s="43" t="s">
        <v>144</v>
      </c>
      <c r="E7" s="24" t="s">
        <v>24</v>
      </c>
      <c r="F7" s="24" t="s">
        <v>23</v>
      </c>
      <c r="H7" s="43" t="s">
        <v>133</v>
      </c>
      <c r="I7" s="43" t="s">
        <v>110</v>
      </c>
      <c r="J7" s="43" t="s">
        <v>99</v>
      </c>
      <c r="K7" s="43" t="s">
        <v>40</v>
      </c>
      <c r="L7" s="43" t="s">
        <v>38</v>
      </c>
      <c r="M7" s="43" t="s">
        <v>37</v>
      </c>
      <c r="N7" s="42" t="s">
        <v>31</v>
      </c>
      <c r="O7" s="42" t="s">
        <v>34</v>
      </c>
      <c r="P7" s="42" t="s">
        <v>35</v>
      </c>
      <c r="R7" s="37" t="s">
        <v>161</v>
      </c>
      <c r="S7" s="102" t="s">
        <v>162</v>
      </c>
      <c r="T7" s="35" t="s">
        <v>87</v>
      </c>
    </row>
    <row r="8" spans="2:22" ht="12.75" customHeight="1" x14ac:dyDescent="0.2">
      <c r="B8" s="2" t="s">
        <v>7</v>
      </c>
      <c r="C8" s="55">
        <f>T8</f>
        <v>4936.3521844207989</v>
      </c>
      <c r="D8" s="45">
        <v>3876.0783064466514</v>
      </c>
      <c r="E8" s="8">
        <f t="shared" ref="E8:E13" si="0">C8-D8</f>
        <v>1060.2738779741476</v>
      </c>
      <c r="F8" s="9">
        <f t="shared" ref="F8:F13" si="1">-1+(C8/D8)</f>
        <v>0.27354294576833271</v>
      </c>
      <c r="H8" s="45">
        <v>7701.4400000000005</v>
      </c>
      <c r="I8" s="45">
        <v>4812.8006768596715</v>
      </c>
      <c r="J8" s="45">
        <v>3779.9924565869383</v>
      </c>
      <c r="K8" s="45">
        <v>4096.2880000000005</v>
      </c>
      <c r="L8" s="45">
        <v>2727.15</v>
      </c>
      <c r="M8" s="45">
        <v>2179.92</v>
      </c>
      <c r="N8" s="8">
        <v>1475.6759999999999</v>
      </c>
      <c r="O8" s="8">
        <v>1290.7760000000001</v>
      </c>
      <c r="P8" s="25">
        <v>1695</v>
      </c>
      <c r="R8" s="32">
        <f>'State eml 4-1-22 Scott France'!X6*0.4</f>
        <v>622.28798510684237</v>
      </c>
      <c r="S8" s="32">
        <f>'State eml 4-1-22 Scott France'!X14*0.4</f>
        <v>4314.064199313957</v>
      </c>
      <c r="T8" s="32">
        <f>R8+S8</f>
        <v>4936.3521844207989</v>
      </c>
    </row>
    <row r="9" spans="2:22" ht="12.75" customHeight="1" x14ac:dyDescent="0.2">
      <c r="B9" s="2" t="s">
        <v>8</v>
      </c>
      <c r="C9" s="55">
        <f t="shared" ref="C9:C12" si="2">T9</f>
        <v>3485.4969411859756</v>
      </c>
      <c r="D9" s="45">
        <v>3927.6714949540496</v>
      </c>
      <c r="E9" s="8">
        <f t="shared" si="0"/>
        <v>-442.17455376807402</v>
      </c>
      <c r="F9" s="9">
        <f t="shared" si="1"/>
        <v>-0.1125793117719095</v>
      </c>
      <c r="H9" s="45">
        <v>5081.96</v>
      </c>
      <c r="I9" s="45">
        <v>3820.5404867807806</v>
      </c>
      <c r="J9" s="45">
        <v>3149.895909943019</v>
      </c>
      <c r="K9" s="45">
        <v>3044.8360000000002</v>
      </c>
      <c r="L9" s="45">
        <v>2041.86</v>
      </c>
      <c r="M9" s="45">
        <v>1930.124</v>
      </c>
      <c r="N9" s="8">
        <v>1748.856</v>
      </c>
      <c r="O9" s="8">
        <v>1662.6520000000003</v>
      </c>
      <c r="P9" s="25">
        <v>1972</v>
      </c>
      <c r="R9" s="32">
        <f>'State eml 4-1-22 Scott France'!X7*0.4</f>
        <v>615.91047431469906</v>
      </c>
      <c r="S9" s="32">
        <f>'State eml 4-1-22 Scott France'!X15*0.4</f>
        <v>2869.5864668712766</v>
      </c>
      <c r="T9" s="32">
        <f t="shared" ref="T9:T12" si="3">R9+S9</f>
        <v>3485.4969411859756</v>
      </c>
    </row>
    <row r="10" spans="2:22" ht="12.75" customHeight="1" x14ac:dyDescent="0.2">
      <c r="B10" s="2" t="s">
        <v>9</v>
      </c>
      <c r="C10" s="55">
        <f t="shared" si="2"/>
        <v>3678.0765600147415</v>
      </c>
      <c r="D10" s="45">
        <v>3496.4104237140441</v>
      </c>
      <c r="E10" s="8">
        <f t="shared" si="0"/>
        <v>181.66613630069742</v>
      </c>
      <c r="F10" s="9">
        <f t="shared" si="1"/>
        <v>5.1957898039819872E-2</v>
      </c>
      <c r="H10" s="45">
        <v>5272.08</v>
      </c>
      <c r="I10" s="45">
        <v>3717.9789092758988</v>
      </c>
      <c r="J10" s="45">
        <v>2943.5529483525506</v>
      </c>
      <c r="K10" s="45">
        <v>2774.6560000000004</v>
      </c>
      <c r="L10" s="45">
        <v>1894.69</v>
      </c>
      <c r="M10" s="45">
        <v>1853.5120000000002</v>
      </c>
      <c r="N10" s="8">
        <v>1825.048</v>
      </c>
      <c r="O10" s="8">
        <v>1863.7840000000001</v>
      </c>
      <c r="P10" s="25">
        <v>1893</v>
      </c>
      <c r="R10" s="32">
        <f>'State eml 4-1-22 Scott France'!X8*0.4</f>
        <v>613.67631448305644</v>
      </c>
      <c r="S10" s="32">
        <f>'State eml 4-1-22 Scott France'!X16*0.4</f>
        <v>3064.400245531685</v>
      </c>
      <c r="T10" s="32">
        <f t="shared" si="3"/>
        <v>3678.0765600147415</v>
      </c>
    </row>
    <row r="11" spans="2:22" ht="12.75" customHeight="1" x14ac:dyDescent="0.2">
      <c r="B11" s="2" t="s">
        <v>10</v>
      </c>
      <c r="C11" s="55">
        <f t="shared" si="2"/>
        <v>9856.7943143784887</v>
      </c>
      <c r="D11" s="45">
        <v>12839.389961427434</v>
      </c>
      <c r="E11" s="8">
        <f t="shared" si="0"/>
        <v>-2982.5956470489455</v>
      </c>
      <c r="F11" s="9">
        <f t="shared" si="1"/>
        <v>-0.2323004173881601</v>
      </c>
      <c r="H11" s="45">
        <v>14640.880000000001</v>
      </c>
      <c r="I11" s="45">
        <v>11859.142707399747</v>
      </c>
      <c r="J11" s="45">
        <v>10263.132494274008</v>
      </c>
      <c r="K11" s="45">
        <v>8599.6200000000008</v>
      </c>
      <c r="L11" s="45">
        <v>5306.02</v>
      </c>
      <c r="M11" s="45">
        <v>4768.4340000000002</v>
      </c>
      <c r="N11" s="8">
        <v>4603.01</v>
      </c>
      <c r="O11" s="8">
        <v>4897.1880000000001</v>
      </c>
      <c r="P11" s="25">
        <v>5732</v>
      </c>
      <c r="R11" s="32">
        <f>'State eml 4-1-22 Scott France'!X9*0.4</f>
        <v>2163.005226095403</v>
      </c>
      <c r="S11" s="32">
        <f>'State eml 4-1-22 Scott France'!X17*0.4</f>
        <v>7693.7890882830852</v>
      </c>
      <c r="T11" s="32">
        <f t="shared" si="3"/>
        <v>9856.7943143784887</v>
      </c>
    </row>
    <row r="12" spans="2:22" ht="12.75" customHeight="1" thickBot="1" x14ac:dyDescent="0.25">
      <c r="B12" s="2" t="s">
        <v>11</v>
      </c>
      <c r="C12" s="55">
        <f t="shared" si="2"/>
        <v>32935.08</v>
      </c>
      <c r="D12" s="45">
        <v>36209.325279813267</v>
      </c>
      <c r="E12" s="8">
        <f t="shared" si="0"/>
        <v>-3274.2452798132654</v>
      </c>
      <c r="F12" s="9">
        <f t="shared" si="1"/>
        <v>-9.0425470635285721E-2</v>
      </c>
      <c r="H12" s="45">
        <v>49044.54</v>
      </c>
      <c r="I12" s="45">
        <v>36315.694170474148</v>
      </c>
      <c r="J12" s="45">
        <v>30204.860713734772</v>
      </c>
      <c r="K12" s="45">
        <v>27773.599999999999</v>
      </c>
      <c r="L12" s="45">
        <v>17954.28</v>
      </c>
      <c r="M12" s="45">
        <v>16098</v>
      </c>
      <c r="N12" s="8">
        <v>14480.4</v>
      </c>
      <c r="O12" s="8">
        <v>14571.6</v>
      </c>
      <c r="P12" s="25">
        <v>16938</v>
      </c>
      <c r="R12" s="32">
        <f>'State eml 4-1-22 Scott France'!X10*0.6</f>
        <v>6022.3200000000006</v>
      </c>
      <c r="S12" s="32">
        <f>'State eml 4-1-22 Scott France'!X18*0.6</f>
        <v>26912.760000000002</v>
      </c>
      <c r="T12" s="32">
        <f t="shared" si="3"/>
        <v>32935.08</v>
      </c>
      <c r="U12" s="32"/>
      <c r="V12" s="32">
        <f>T12-R13+1</f>
        <v>22898.880000000001</v>
      </c>
    </row>
    <row r="13" spans="2:22" ht="12.75" customHeight="1" thickBot="1" x14ac:dyDescent="0.25">
      <c r="C13" s="56">
        <f>SUM(C8:C12)</f>
        <v>54891.80000000001</v>
      </c>
      <c r="D13" s="11">
        <f>SUM(D8:D12)</f>
        <v>60348.875466355443</v>
      </c>
      <c r="E13" s="8">
        <f t="shared" si="0"/>
        <v>-5457.0754663554326</v>
      </c>
      <c r="F13" s="9">
        <f t="shared" si="1"/>
        <v>-9.042547063528561E-2</v>
      </c>
      <c r="H13" s="11">
        <f>SUM(H8:H12)</f>
        <v>81740.900000000009</v>
      </c>
      <c r="I13" s="45">
        <f>SUM(I8:I12)</f>
        <v>60526.156950790246</v>
      </c>
      <c r="J13" s="45">
        <f>SUM(J8:J12)</f>
        <v>50341.434522891286</v>
      </c>
      <c r="K13" s="45">
        <f t="shared" ref="K13:P13" si="4">SUM(K8:K12)</f>
        <v>46289</v>
      </c>
      <c r="L13" s="45">
        <f t="shared" si="4"/>
        <v>29924</v>
      </c>
      <c r="M13" s="45">
        <f t="shared" si="4"/>
        <v>26829.99</v>
      </c>
      <c r="N13" s="11">
        <f t="shared" si="4"/>
        <v>24132.989999999998</v>
      </c>
      <c r="O13" s="11">
        <f t="shared" si="4"/>
        <v>24286</v>
      </c>
      <c r="P13" s="26">
        <f t="shared" si="4"/>
        <v>28230</v>
      </c>
      <c r="R13" s="118">
        <f t="shared" ref="R13:S13" si="5">SUM(R8:R12)</f>
        <v>10037.200000000001</v>
      </c>
      <c r="S13" s="119">
        <f t="shared" si="5"/>
        <v>44854.600000000006</v>
      </c>
      <c r="T13" s="118">
        <f>SUM(T8:T12)</f>
        <v>54891.80000000001</v>
      </c>
    </row>
    <row r="14" spans="2:22" ht="12.75" customHeight="1" x14ac:dyDescent="0.2">
      <c r="C14" s="32"/>
      <c r="E14" s="13"/>
      <c r="F14" s="14"/>
      <c r="N14" s="13"/>
      <c r="O14" s="13"/>
      <c r="R14" s="32"/>
      <c r="S14" s="107"/>
      <c r="T14" s="32"/>
    </row>
    <row r="15" spans="2:22" ht="17.25" customHeight="1" thickBot="1" x14ac:dyDescent="0.3">
      <c r="B15" s="7" t="s">
        <v>16</v>
      </c>
      <c r="C15" s="32"/>
      <c r="R15" s="96"/>
    </row>
    <row r="16" spans="2:22" ht="12.75" hidden="1" customHeight="1" thickBot="1" x14ac:dyDescent="0.25">
      <c r="C16" s="53">
        <f>483473*0.9</f>
        <v>435125.7</v>
      </c>
    </row>
    <row r="17" spans="2:22" ht="42" customHeight="1" thickBot="1" x14ac:dyDescent="0.3">
      <c r="B17" s="18" t="s">
        <v>3</v>
      </c>
      <c r="C17" s="43" t="str">
        <f>C7</f>
        <v>PY22 &amp; FY23 Actual</v>
      </c>
      <c r="D17" s="43" t="s">
        <v>144</v>
      </c>
      <c r="E17" s="24" t="s">
        <v>24</v>
      </c>
      <c r="F17" s="24" t="s">
        <v>23</v>
      </c>
      <c r="H17" s="43" t="str">
        <f>H7</f>
        <v>PY20 &amp; FY21 Actual</v>
      </c>
      <c r="I17" s="43" t="str">
        <f>I7</f>
        <v>PY19 &amp; FY20 Actual</v>
      </c>
      <c r="J17" s="43" t="str">
        <f>J7</f>
        <v>PY18 &amp; FY19 Actual</v>
      </c>
      <c r="K17" s="43" t="str">
        <f>K7</f>
        <v>PY17 &amp; FY18 Actual</v>
      </c>
      <c r="L17" s="43" t="s">
        <v>38</v>
      </c>
      <c r="M17" s="43" t="s">
        <v>37</v>
      </c>
      <c r="N17" s="42" t="s">
        <v>31</v>
      </c>
      <c r="O17" s="42" t="s">
        <v>34</v>
      </c>
      <c r="P17" s="42" t="s">
        <v>35</v>
      </c>
      <c r="R17" s="37" t="str">
        <f>R7</f>
        <v>PY22</v>
      </c>
      <c r="S17" s="102" t="str">
        <f>S7</f>
        <v>FY23</v>
      </c>
      <c r="T17" s="35" t="s">
        <v>87</v>
      </c>
    </row>
    <row r="18" spans="2:22" ht="12.75" customHeight="1" x14ac:dyDescent="0.2">
      <c r="B18" s="2" t="s">
        <v>7</v>
      </c>
      <c r="C18" s="55">
        <f>T18</f>
        <v>111067.92414946796</v>
      </c>
      <c r="D18" s="45">
        <v>87211.811895049643</v>
      </c>
      <c r="E18" s="8">
        <f t="shared" ref="E18:E22" si="6">C18-D18</f>
        <v>23856.112254418316</v>
      </c>
      <c r="F18" s="9">
        <f>-1+(C18/D18)</f>
        <v>0.27354221562472136</v>
      </c>
      <c r="H18" s="45">
        <v>173282.40000000002</v>
      </c>
      <c r="I18" s="45">
        <v>108288.01522934259</v>
      </c>
      <c r="J18" s="45">
        <v>85049.830273206113</v>
      </c>
      <c r="K18" s="45">
        <v>92168.79</v>
      </c>
      <c r="L18" s="45">
        <v>61354.85</v>
      </c>
      <c r="M18" s="45">
        <v>49052.160000000003</v>
      </c>
      <c r="N18" s="8">
        <v>33207.19</v>
      </c>
      <c r="O18" s="8">
        <v>29032.03</v>
      </c>
      <c r="P18" s="25">
        <v>38132</v>
      </c>
      <c r="R18" s="32">
        <f>'State eml 4-1-22 Scott France'!W6</f>
        <v>14001.479664903951</v>
      </c>
      <c r="S18" s="32">
        <f>'State eml 4-1-22 Scott France'!W14</f>
        <v>97066.44448456401</v>
      </c>
      <c r="T18" s="32">
        <f>R18+S18</f>
        <v>111067.92414946796</v>
      </c>
    </row>
    <row r="19" spans="2:22" ht="12.75" customHeight="1" x14ac:dyDescent="0.2">
      <c r="B19" s="2" t="s">
        <v>8</v>
      </c>
      <c r="C19" s="55">
        <f t="shared" ref="C19:C21" si="7">T19</f>
        <v>78423.681176684448</v>
      </c>
      <c r="D19" s="45">
        <v>88372.608636466117</v>
      </c>
      <c r="E19" s="8">
        <f t="shared" si="6"/>
        <v>-9948.9274597816693</v>
      </c>
      <c r="F19" s="9">
        <f>-1+(C19/D19)</f>
        <v>-0.11257931177190961</v>
      </c>
      <c r="H19" s="45">
        <v>114344.1</v>
      </c>
      <c r="I19" s="45">
        <v>85962.160952567559</v>
      </c>
      <c r="J19" s="45">
        <v>70872.657973717927</v>
      </c>
      <c r="K19" s="45">
        <v>68509.820000000007</v>
      </c>
      <c r="L19" s="45">
        <v>45941.429999999993</v>
      </c>
      <c r="M19" s="45">
        <v>43418.810000000005</v>
      </c>
      <c r="N19" s="8">
        <v>39345.279999999999</v>
      </c>
      <c r="O19" s="8">
        <v>37399.170000000006</v>
      </c>
      <c r="P19" s="25">
        <v>44379</v>
      </c>
      <c r="R19" s="32">
        <f>'State eml 4-1-22 Scott France'!W7</f>
        <v>13857.985672080726</v>
      </c>
      <c r="S19" s="32">
        <f>'State eml 4-1-22 Scott France'!W15</f>
        <v>64565.695504603718</v>
      </c>
      <c r="T19" s="32">
        <f t="shared" ref="T19:T21" si="8">R19+S19</f>
        <v>78423.681176684448</v>
      </c>
    </row>
    <row r="20" spans="2:22" ht="12.75" customHeight="1" x14ac:dyDescent="0.2">
      <c r="B20" s="2" t="s">
        <v>9</v>
      </c>
      <c r="C20" s="55">
        <f t="shared" si="7"/>
        <v>82756.722600331675</v>
      </c>
      <c r="D20" s="45">
        <v>78669.234533566007</v>
      </c>
      <c r="E20" s="8">
        <f t="shared" si="6"/>
        <v>4087.4880667656689</v>
      </c>
      <c r="F20" s="9">
        <f>-1+(C20/D20)</f>
        <v>5.1957898039819428E-2</v>
      </c>
      <c r="H20" s="45">
        <v>118621.8</v>
      </c>
      <c r="I20" s="45">
        <v>83654.525458707736</v>
      </c>
      <c r="J20" s="45">
        <v>66229.941337932396</v>
      </c>
      <c r="K20" s="45">
        <v>62430.770000000004</v>
      </c>
      <c r="L20" s="45">
        <v>42630.28</v>
      </c>
      <c r="M20" s="45">
        <v>41701.97</v>
      </c>
      <c r="N20" s="8">
        <v>41075.050000000003</v>
      </c>
      <c r="O20" s="8">
        <v>41938.61</v>
      </c>
      <c r="P20" s="25">
        <v>42591</v>
      </c>
      <c r="R20" s="32">
        <f>'State eml 4-1-22 Scott France'!W8</f>
        <v>13807.717075868768</v>
      </c>
      <c r="S20" s="32">
        <f>'State eml 4-1-22 Scott France'!W16</f>
        <v>68949.005524462904</v>
      </c>
      <c r="T20" s="32">
        <f t="shared" si="8"/>
        <v>82756.722600331675</v>
      </c>
    </row>
    <row r="21" spans="2:22" ht="12.75" customHeight="1" thickBot="1" x14ac:dyDescent="0.25">
      <c r="B21" s="2" t="s">
        <v>10</v>
      </c>
      <c r="C21" s="55">
        <f t="shared" si="7"/>
        <v>221777.87207351596</v>
      </c>
      <c r="D21" s="45">
        <v>288886.27413211728</v>
      </c>
      <c r="E21" s="8">
        <f t="shared" si="6"/>
        <v>-67108.402058601321</v>
      </c>
      <c r="F21" s="9">
        <f>-1+(C21/D21)</f>
        <v>-0.23230041738816021</v>
      </c>
      <c r="H21" s="45">
        <v>329419.3</v>
      </c>
      <c r="I21" s="45">
        <v>266830.71091649431</v>
      </c>
      <c r="J21" s="45">
        <v>230920.48112116518</v>
      </c>
      <c r="K21" s="45">
        <v>193496.62</v>
      </c>
      <c r="L21" s="45">
        <v>119387.44</v>
      </c>
      <c r="M21" s="45">
        <v>107288.06</v>
      </c>
      <c r="N21" s="8">
        <v>103558.48000000001</v>
      </c>
      <c r="O21" s="8">
        <v>110187.19</v>
      </c>
      <c r="P21" s="25">
        <v>128963</v>
      </c>
      <c r="R21" s="32">
        <f>'State eml 4-1-22 Scott France'!W9</f>
        <v>48667.61758714656</v>
      </c>
      <c r="S21" s="32">
        <f>'State eml 4-1-22 Scott France'!W17</f>
        <v>173110.25448636941</v>
      </c>
      <c r="T21" s="32">
        <f t="shared" si="8"/>
        <v>221777.87207351596</v>
      </c>
      <c r="V21" s="32"/>
    </row>
    <row r="22" spans="2:22" ht="12.75" customHeight="1" thickBot="1" x14ac:dyDescent="0.25">
      <c r="C22" s="56">
        <f>SUM(C18:C21)</f>
        <v>494026.2</v>
      </c>
      <c r="D22" s="45">
        <f>SUM(D18:D21)</f>
        <v>543139.92919719906</v>
      </c>
      <c r="E22" s="8">
        <f t="shared" si="6"/>
        <v>-49113.729197199049</v>
      </c>
      <c r="F22" s="9">
        <f>-1+(C22/D22)</f>
        <v>-9.0425554368268934E-2</v>
      </c>
      <c r="H22" s="45">
        <f>SUM(H18:H21)</f>
        <v>735667.6</v>
      </c>
      <c r="I22" s="45">
        <f>SUM(I18:I21)</f>
        <v>544735.41255711229</v>
      </c>
      <c r="J22" s="45">
        <f>SUM(J18:J21)</f>
        <v>453072.91070602159</v>
      </c>
      <c r="K22" s="45">
        <f t="shared" ref="K22:P22" si="9">SUM(K18:K21)</f>
        <v>416606</v>
      </c>
      <c r="L22" s="45">
        <f t="shared" si="9"/>
        <v>269314</v>
      </c>
      <c r="M22" s="45">
        <f t="shared" si="9"/>
        <v>241461</v>
      </c>
      <c r="N22" s="11">
        <f t="shared" si="9"/>
        <v>217186</v>
      </c>
      <c r="O22" s="11">
        <f t="shared" si="9"/>
        <v>218557</v>
      </c>
      <c r="P22" s="26">
        <f t="shared" si="9"/>
        <v>254065</v>
      </c>
      <c r="R22" s="120">
        <f>SUM(R18:R21)</f>
        <v>90334.800000000017</v>
      </c>
      <c r="S22" s="121">
        <f>SUM(S18:S21)</f>
        <v>403691.4</v>
      </c>
      <c r="T22" s="120">
        <f>SUM(T18:T21)</f>
        <v>494026.2</v>
      </c>
    </row>
    <row r="23" spans="2:22" ht="12.75" customHeight="1" x14ac:dyDescent="0.2">
      <c r="C23" s="32"/>
      <c r="D23" s="13"/>
      <c r="E23" s="13"/>
      <c r="F23" s="14"/>
      <c r="H23" s="13"/>
      <c r="I23" s="13"/>
      <c r="J23" s="13"/>
      <c r="K23" s="13"/>
      <c r="L23" s="13"/>
      <c r="M23" s="13"/>
      <c r="N23" s="13"/>
      <c r="O23" s="13"/>
      <c r="R23" s="32">
        <f>R22+R13</f>
        <v>100372.00000000001</v>
      </c>
      <c r="S23" s="32">
        <f>S22+S13</f>
        <v>448546</v>
      </c>
      <c r="T23" s="32"/>
    </row>
    <row r="24" spans="2:22" ht="12.75" customHeight="1" x14ac:dyDescent="0.2">
      <c r="C24" s="32"/>
      <c r="M24" s="32"/>
    </row>
    <row r="25" spans="2:22" ht="18.75" customHeight="1" thickBot="1" x14ac:dyDescent="0.3">
      <c r="B25" s="7" t="s">
        <v>69</v>
      </c>
      <c r="M25" s="32"/>
    </row>
    <row r="26" spans="2:22" ht="40.5" customHeight="1" thickBot="1" x14ac:dyDescent="0.3">
      <c r="B26" s="18" t="s">
        <v>3</v>
      </c>
      <c r="C26" s="43" t="str">
        <f>C7</f>
        <v>PY22 &amp; FY23 Actual</v>
      </c>
      <c r="D26" s="43" t="s">
        <v>144</v>
      </c>
      <c r="E26" s="24" t="s">
        <v>24</v>
      </c>
      <c r="F26" s="24" t="s">
        <v>23</v>
      </c>
      <c r="H26" s="43" t="str">
        <f>H7</f>
        <v>PY20 &amp; FY21 Actual</v>
      </c>
      <c r="I26" s="43" t="str">
        <f>I7</f>
        <v>PY19 &amp; FY20 Actual</v>
      </c>
      <c r="J26" s="43" t="str">
        <f>J7</f>
        <v>PY18 &amp; FY19 Actual</v>
      </c>
      <c r="K26" s="43" t="str">
        <f>K7</f>
        <v>PY17 &amp; FY18 Actual</v>
      </c>
      <c r="L26" s="43" t="s">
        <v>38</v>
      </c>
      <c r="M26" s="47" t="s">
        <v>37</v>
      </c>
      <c r="N26" s="42" t="s">
        <v>31</v>
      </c>
      <c r="O26" s="42" t="s">
        <v>34</v>
      </c>
      <c r="P26" s="42" t="s">
        <v>35</v>
      </c>
      <c r="R26" s="37" t="str">
        <f>R7</f>
        <v>PY22</v>
      </c>
      <c r="S26" s="102" t="str">
        <f>S7</f>
        <v>FY23</v>
      </c>
      <c r="T26" s="35" t="s">
        <v>87</v>
      </c>
    </row>
    <row r="27" spans="2:22" ht="12.75" customHeight="1" x14ac:dyDescent="0.2">
      <c r="B27" s="2" t="s">
        <v>7</v>
      </c>
      <c r="C27" s="55">
        <f t="shared" ref="C27:C31" si="10">T27</f>
        <v>4019.2102937779082</v>
      </c>
      <c r="D27" s="45">
        <v>4693.2429779624936</v>
      </c>
      <c r="E27" s="8">
        <f t="shared" ref="E27:E32" si="11">C27-D27</f>
        <v>-674.03268418458538</v>
      </c>
      <c r="F27" s="9">
        <f t="shared" ref="F27:F32" si="12">-1+(C27/D27)</f>
        <v>-0.14361768341199488</v>
      </c>
      <c r="H27" s="45">
        <v>9583.84</v>
      </c>
      <c r="I27" s="45">
        <v>7669.385815403326</v>
      </c>
      <c r="J27" s="45">
        <v>7554.1480692834621</v>
      </c>
      <c r="K27" s="45">
        <v>8622.4279999999999</v>
      </c>
      <c r="L27" s="45">
        <v>6979.96</v>
      </c>
      <c r="M27" s="31">
        <v>6776.4679999999998</v>
      </c>
      <c r="N27" s="8">
        <v>5304.4</v>
      </c>
      <c r="O27" s="8">
        <v>4807.5999999999995</v>
      </c>
      <c r="P27" s="25">
        <v>1270</v>
      </c>
      <c r="R27" s="32">
        <f>'State eml 4-1-22 Scott France'!Z6*0.4</f>
        <v>551.20265370436653</v>
      </c>
      <c r="S27" s="32">
        <f>'State eml 4-1-22 Scott France'!Z14*0.4</f>
        <v>3468.0076400735416</v>
      </c>
      <c r="T27" s="32">
        <f>R27+S27</f>
        <v>4019.2102937779082</v>
      </c>
    </row>
    <row r="28" spans="2:22" ht="12.75" customHeight="1" x14ac:dyDescent="0.2">
      <c r="B28" s="2" t="s">
        <v>8</v>
      </c>
      <c r="C28" s="55">
        <f t="shared" si="10"/>
        <v>2875.8036244622372</v>
      </c>
      <c r="D28" s="45">
        <v>3341.6025358691568</v>
      </c>
      <c r="E28" s="8">
        <f t="shared" si="11"/>
        <v>-465.79891140691961</v>
      </c>
      <c r="F28" s="9">
        <f t="shared" si="12"/>
        <v>-0.13939387057765817</v>
      </c>
      <c r="H28" s="45">
        <v>3880.56</v>
      </c>
      <c r="I28" s="45">
        <v>3757.5165682195448</v>
      </c>
      <c r="J28" s="45">
        <v>3908.0299431410194</v>
      </c>
      <c r="K28" s="45">
        <v>3691.6480000000001</v>
      </c>
      <c r="L28" s="45">
        <v>3044.95</v>
      </c>
      <c r="M28" s="31">
        <v>2736.0960000000005</v>
      </c>
      <c r="N28" s="8">
        <v>2617.1999999999998</v>
      </c>
      <c r="O28" s="8">
        <v>1628.8</v>
      </c>
      <c r="P28" s="25">
        <v>1837</v>
      </c>
      <c r="R28" s="32">
        <f>'State eml 4-1-22 Scott France'!Z7*0.4</f>
        <v>568.98867429441054</v>
      </c>
      <c r="S28" s="32">
        <f>'State eml 4-1-22 Scott France'!Z15*0.4</f>
        <v>2306.8149501678267</v>
      </c>
      <c r="T28" s="32">
        <f t="shared" ref="T28:T31" si="13">R28+S28</f>
        <v>2875.8036244622372</v>
      </c>
    </row>
    <row r="29" spans="2:22" ht="12.75" customHeight="1" x14ac:dyDescent="0.2">
      <c r="B29" s="2" t="s">
        <v>9</v>
      </c>
      <c r="C29" s="55">
        <f t="shared" si="10"/>
        <v>2899.4198246086576</v>
      </c>
      <c r="D29" s="45">
        <v>2967.3678637566964</v>
      </c>
      <c r="E29" s="8">
        <f t="shared" si="11"/>
        <v>-67.948039148038788</v>
      </c>
      <c r="F29" s="9">
        <f t="shared" si="12"/>
        <v>-2.2898421182608764E-2</v>
      </c>
      <c r="H29" s="45">
        <v>4412.12</v>
      </c>
      <c r="I29" s="45">
        <v>3767.2592348762428</v>
      </c>
      <c r="J29" s="45">
        <v>3338.778648922264</v>
      </c>
      <c r="K29" s="45">
        <v>3056.2640000000001</v>
      </c>
      <c r="L29" s="45">
        <v>2332.54</v>
      </c>
      <c r="M29" s="31">
        <v>2299.6760000000004</v>
      </c>
      <c r="N29" s="8">
        <v>2155.6</v>
      </c>
      <c r="O29" s="8">
        <v>1252.4000000000001</v>
      </c>
      <c r="P29" s="25">
        <v>1452</v>
      </c>
      <c r="R29" s="32">
        <f>'State eml 4-1-22 Scott France'!Z8*0.4</f>
        <v>435.99717423708091</v>
      </c>
      <c r="S29" s="32">
        <f>'State eml 4-1-22 Scott France'!Z16*0.4</f>
        <v>2463.4226503715768</v>
      </c>
      <c r="T29" s="32">
        <f t="shared" si="13"/>
        <v>2899.4198246086576</v>
      </c>
    </row>
    <row r="30" spans="2:22" ht="12.75" customHeight="1" x14ac:dyDescent="0.2">
      <c r="B30" s="2" t="s">
        <v>10</v>
      </c>
      <c r="C30" s="55">
        <f t="shared" si="10"/>
        <v>8259.2062571511979</v>
      </c>
      <c r="D30" s="45">
        <v>9232.1473693654243</v>
      </c>
      <c r="E30" s="8">
        <f t="shared" si="11"/>
        <v>-972.94111221422645</v>
      </c>
      <c r="F30" s="9">
        <f t="shared" si="12"/>
        <v>-0.10538621983469287</v>
      </c>
      <c r="H30" s="45">
        <v>8396.2000000000007</v>
      </c>
      <c r="I30" s="45">
        <v>9035.5374379610457</v>
      </c>
      <c r="J30" s="45">
        <v>9824.8361513837026</v>
      </c>
      <c r="K30" s="45">
        <v>7702.5</v>
      </c>
      <c r="L30" s="45">
        <v>6123.6900000000005</v>
      </c>
      <c r="M30" s="31">
        <v>5968.1600000000008</v>
      </c>
      <c r="N30" s="8">
        <v>4754</v>
      </c>
      <c r="O30" s="8">
        <v>2608</v>
      </c>
      <c r="P30" s="25">
        <v>4537</v>
      </c>
      <c r="R30" s="32">
        <f>'State eml 4-1-22 Scott France'!Z9*0.4</f>
        <v>2074.2914977641426</v>
      </c>
      <c r="S30" s="32">
        <f>'State eml 4-1-22 Scott France'!Z17*0.4</f>
        <v>6184.9147593870557</v>
      </c>
      <c r="T30" s="32">
        <f t="shared" si="13"/>
        <v>8259.2062571511979</v>
      </c>
    </row>
    <row r="31" spans="2:22" ht="12.75" customHeight="1" thickBot="1" x14ac:dyDescent="0.25">
      <c r="B31" s="2" t="s">
        <v>11</v>
      </c>
      <c r="C31" s="55">
        <f t="shared" si="10"/>
        <v>27080.460000000003</v>
      </c>
      <c r="D31" s="45">
        <v>30351.541120430658</v>
      </c>
      <c r="E31" s="8">
        <f t="shared" si="11"/>
        <v>-3271.0811204306556</v>
      </c>
      <c r="F31" s="9">
        <f t="shared" si="12"/>
        <v>-0.10777314757927658</v>
      </c>
      <c r="H31" s="45">
        <v>39409.079999999994</v>
      </c>
      <c r="I31" s="45">
        <v>36344.548584690237</v>
      </c>
      <c r="J31" s="45">
        <v>36938.689219095671</v>
      </c>
      <c r="K31" s="45">
        <v>34610.160000000003</v>
      </c>
      <c r="L31" s="45">
        <v>27718.86</v>
      </c>
      <c r="M31" s="31">
        <v>26670.6</v>
      </c>
      <c r="N31" s="8">
        <v>22249.8</v>
      </c>
      <c r="O31" s="8">
        <v>15445.2</v>
      </c>
      <c r="P31" s="25">
        <v>13644</v>
      </c>
      <c r="R31" s="32">
        <f>'State eml 4-1-22 Scott France'!Z10*0.6</f>
        <v>5445.72</v>
      </c>
      <c r="S31" s="32">
        <f>'State eml 4-1-22 Scott France'!Z18*0.6</f>
        <v>21634.74</v>
      </c>
      <c r="T31" s="32">
        <f t="shared" si="13"/>
        <v>27080.460000000003</v>
      </c>
      <c r="V31" s="32">
        <f>T31-R32+1</f>
        <v>18005.260000000002</v>
      </c>
    </row>
    <row r="32" spans="2:22" ht="12.75" customHeight="1" thickBot="1" x14ac:dyDescent="0.25">
      <c r="C32" s="56">
        <f>SUM(C27:C31)</f>
        <v>45134.100000000006</v>
      </c>
      <c r="D32" s="45">
        <f>SUM(D27:D31)</f>
        <v>50585.901867384426</v>
      </c>
      <c r="E32" s="8">
        <f t="shared" si="11"/>
        <v>-5451.8018673844199</v>
      </c>
      <c r="F32" s="9">
        <f t="shared" si="12"/>
        <v>-0.10777314757927647</v>
      </c>
      <c r="H32" s="45">
        <f>SUM(H27:H31)</f>
        <v>65681.799999999988</v>
      </c>
      <c r="I32" s="45">
        <f>SUM(I27:I31)</f>
        <v>60574.247641150396</v>
      </c>
      <c r="J32" s="45">
        <f>SUM(J27:J31)</f>
        <v>61564.482031826119</v>
      </c>
      <c r="K32" s="45">
        <f t="shared" ref="K32:P32" si="14">SUM(K27:K31)</f>
        <v>57683</v>
      </c>
      <c r="L32" s="45">
        <f t="shared" si="14"/>
        <v>46200</v>
      </c>
      <c r="M32" s="31">
        <f t="shared" si="14"/>
        <v>44451</v>
      </c>
      <c r="N32" s="11">
        <f t="shared" si="14"/>
        <v>37081</v>
      </c>
      <c r="O32" s="11">
        <f t="shared" si="14"/>
        <v>25742</v>
      </c>
      <c r="P32" s="26">
        <f t="shared" si="14"/>
        <v>22740</v>
      </c>
      <c r="R32" s="118">
        <f t="shared" ref="R32:S32" si="15">SUM(R27:R31)</f>
        <v>9076.2000000000007</v>
      </c>
      <c r="S32" s="119">
        <f t="shared" si="15"/>
        <v>36057.9</v>
      </c>
      <c r="T32" s="118">
        <f>SUM(T27:T31)</f>
        <v>45134.100000000006</v>
      </c>
    </row>
    <row r="33" spans="2:20" ht="12.75" customHeight="1" x14ac:dyDescent="0.2">
      <c r="C33" s="32"/>
      <c r="E33" s="13"/>
      <c r="F33" s="14"/>
      <c r="M33" s="32"/>
      <c r="N33" s="13"/>
      <c r="O33" s="13"/>
      <c r="R33" s="32"/>
      <c r="S33" s="107"/>
      <c r="T33" s="32"/>
    </row>
    <row r="34" spans="2:20" ht="12.75" customHeight="1" x14ac:dyDescent="0.2">
      <c r="C34" s="32"/>
      <c r="E34" s="13"/>
      <c r="F34" s="14"/>
      <c r="M34" s="32"/>
      <c r="N34" s="13"/>
      <c r="O34" s="13"/>
      <c r="R34" s="96"/>
    </row>
    <row r="35" spans="2:20" ht="18" customHeight="1" thickBot="1" x14ac:dyDescent="0.3">
      <c r="B35" s="7" t="s">
        <v>18</v>
      </c>
      <c r="M35" s="32"/>
    </row>
    <row r="36" spans="2:20" ht="40.5" customHeight="1" thickBot="1" x14ac:dyDescent="0.3">
      <c r="B36" s="18" t="s">
        <v>3</v>
      </c>
      <c r="C36" s="43" t="str">
        <f>C7</f>
        <v>PY22 &amp; FY23 Actual</v>
      </c>
      <c r="D36" s="43" t="s">
        <v>144</v>
      </c>
      <c r="E36" s="24" t="s">
        <v>24</v>
      </c>
      <c r="F36" s="24" t="s">
        <v>23</v>
      </c>
      <c r="H36" s="43" t="str">
        <f>H7</f>
        <v>PY20 &amp; FY21 Actual</v>
      </c>
      <c r="I36" s="43" t="str">
        <f>I7</f>
        <v>PY19 &amp; FY20 Actual</v>
      </c>
      <c r="J36" s="43" t="str">
        <f>J7</f>
        <v>PY18 &amp; FY19 Actual</v>
      </c>
      <c r="K36" s="43" t="str">
        <f>K7</f>
        <v>PY17 &amp; FY18 Actual</v>
      </c>
      <c r="L36" s="43" t="s">
        <v>38</v>
      </c>
      <c r="M36" s="47" t="s">
        <v>37</v>
      </c>
      <c r="N36" s="42" t="s">
        <v>31</v>
      </c>
      <c r="O36" s="42" t="s">
        <v>34</v>
      </c>
      <c r="P36" s="42" t="s">
        <v>35</v>
      </c>
      <c r="R36" s="37" t="str">
        <f>R26</f>
        <v>PY22</v>
      </c>
      <c r="S36" s="102" t="str">
        <f>S26</f>
        <v>FY23</v>
      </c>
      <c r="T36" s="35" t="s">
        <v>87</v>
      </c>
    </row>
    <row r="37" spans="2:20" ht="12.75" customHeight="1" x14ac:dyDescent="0.2">
      <c r="B37" s="2" t="s">
        <v>7</v>
      </c>
      <c r="C37" s="55">
        <f t="shared" ref="C37:C40" si="16">T37</f>
        <v>90432.231610002942</v>
      </c>
      <c r="D37" s="45">
        <v>105598.96700415612</v>
      </c>
      <c r="E37" s="8">
        <f>C37-D37</f>
        <v>-15166.735394153176</v>
      </c>
      <c r="F37" s="9">
        <f>-1+(C37/D37)</f>
        <v>-0.14362579317235413</v>
      </c>
      <c r="H37" s="45">
        <v>215636.40000000002</v>
      </c>
      <c r="I37" s="45">
        <v>172561.18084657483</v>
      </c>
      <c r="J37" s="45">
        <v>169968.33155887789</v>
      </c>
      <c r="K37" s="45">
        <v>194000.71000000002</v>
      </c>
      <c r="L37" s="45">
        <v>157036.51</v>
      </c>
      <c r="M37" s="31">
        <v>152464.54999999999</v>
      </c>
      <c r="N37" s="8">
        <v>119359</v>
      </c>
      <c r="O37" s="8">
        <v>108168</v>
      </c>
      <c r="P37" s="25">
        <v>28583</v>
      </c>
      <c r="R37" s="32">
        <f>'State eml 4-1-22 Scott France'!Y6</f>
        <v>12402.059708348244</v>
      </c>
      <c r="S37" s="32">
        <f>'State eml 4-1-22 Scott France'!Y14</f>
        <v>78030.171901654699</v>
      </c>
      <c r="T37" s="32">
        <f>R37+S37</f>
        <v>90432.231610002942</v>
      </c>
    </row>
    <row r="38" spans="2:20" ht="12.75" customHeight="1" x14ac:dyDescent="0.2">
      <c r="B38" s="2" t="s">
        <v>8</v>
      </c>
      <c r="C38" s="55">
        <f t="shared" si="16"/>
        <v>64705.58155040034</v>
      </c>
      <c r="D38" s="45">
        <v>75186.057057056038</v>
      </c>
      <c r="E38" s="8">
        <f>C38-D38</f>
        <v>-10480.475506655697</v>
      </c>
      <c r="F38" s="9">
        <f>-1+(C38/D38)</f>
        <v>-0.13939387057765829</v>
      </c>
      <c r="H38" s="45">
        <v>87312.599999999991</v>
      </c>
      <c r="I38" s="45">
        <v>84544.122784939755</v>
      </c>
      <c r="J38" s="45">
        <v>87930.67372067293</v>
      </c>
      <c r="K38" s="45">
        <v>83063.359999999986</v>
      </c>
      <c r="L38" s="45">
        <v>68508.66</v>
      </c>
      <c r="M38" s="31">
        <v>61567.9</v>
      </c>
      <c r="N38" s="8">
        <v>58892</v>
      </c>
      <c r="O38" s="8">
        <v>36638</v>
      </c>
      <c r="P38" s="25">
        <v>41330</v>
      </c>
      <c r="R38" s="32">
        <f>'State eml 4-1-22 Scott France'!Y7</f>
        <v>12802.245171624236</v>
      </c>
      <c r="S38" s="32">
        <f>'State eml 4-1-22 Scott France'!Y15</f>
        <v>51903.336378776105</v>
      </c>
      <c r="T38" s="32">
        <f t="shared" ref="T38:T40" si="17">R38+S38</f>
        <v>64705.58155040034</v>
      </c>
    </row>
    <row r="39" spans="2:20" ht="12.75" customHeight="1" x14ac:dyDescent="0.2">
      <c r="B39" s="2" t="s">
        <v>9</v>
      </c>
      <c r="C39" s="55">
        <f t="shared" si="16"/>
        <v>65236.946053694803</v>
      </c>
      <c r="D39" s="45">
        <v>66765.776934525667</v>
      </c>
      <c r="E39" s="8">
        <f>C39-D39</f>
        <v>-1528.8308808308648</v>
      </c>
      <c r="F39" s="9">
        <f>-1+(C39/D39)</f>
        <v>-2.2898421182608653E-2</v>
      </c>
      <c r="H39" s="45">
        <v>99272.700000000012</v>
      </c>
      <c r="I39" s="45">
        <v>84763.332784715458</v>
      </c>
      <c r="J39" s="45">
        <v>75122.519600750951</v>
      </c>
      <c r="K39" s="45">
        <v>68763.22</v>
      </c>
      <c r="L39" s="45">
        <v>52464.71</v>
      </c>
      <c r="M39" s="31">
        <v>51740.75</v>
      </c>
      <c r="N39" s="8">
        <v>48509</v>
      </c>
      <c r="O39" s="8">
        <v>28172</v>
      </c>
      <c r="P39" s="25">
        <v>32670</v>
      </c>
      <c r="R39" s="32">
        <f>'State eml 4-1-22 Scott France'!Y8</f>
        <v>9809.9364203343193</v>
      </c>
      <c r="S39" s="32">
        <f>'State eml 4-1-22 Scott France'!Y16</f>
        <v>55427.009633360482</v>
      </c>
      <c r="T39" s="32">
        <f t="shared" si="17"/>
        <v>65236.946053694803</v>
      </c>
    </row>
    <row r="40" spans="2:20" ht="12.75" customHeight="1" thickBot="1" x14ac:dyDescent="0.25">
      <c r="B40" s="2" t="s">
        <v>10</v>
      </c>
      <c r="C40" s="55">
        <f t="shared" si="16"/>
        <v>185833.14078590198</v>
      </c>
      <c r="D40" s="45">
        <v>207722.31581072207</v>
      </c>
      <c r="E40" s="46">
        <f>C40-D40</f>
        <v>-21889.175024820084</v>
      </c>
      <c r="F40" s="9">
        <f>-1+(C40/D40)</f>
        <v>-0.10537709893801517</v>
      </c>
      <c r="H40" s="45">
        <v>188914</v>
      </c>
      <c r="I40" s="45">
        <v>203299.59235412348</v>
      </c>
      <c r="J40" s="45">
        <v>221058.8134061333</v>
      </c>
      <c r="K40" s="45">
        <v>173301.71</v>
      </c>
      <c r="L40" s="45">
        <v>137771.12</v>
      </c>
      <c r="M40" s="50">
        <v>134289.79999999999</v>
      </c>
      <c r="N40" s="8">
        <v>106973</v>
      </c>
      <c r="O40" s="8">
        <v>58678</v>
      </c>
      <c r="P40" s="25">
        <v>102070</v>
      </c>
      <c r="R40" s="32">
        <f>'State eml 4-1-22 Scott France'!Y9</f>
        <v>46671.558699693196</v>
      </c>
      <c r="S40" s="32">
        <f>'State eml 4-1-22 Scott France'!Y17+1</f>
        <v>139161.58208620877</v>
      </c>
      <c r="T40" s="32">
        <f t="shared" si="17"/>
        <v>185833.14078590198</v>
      </c>
    </row>
    <row r="41" spans="2:20" ht="12.75" customHeight="1" thickBot="1" x14ac:dyDescent="0.25">
      <c r="C41" s="56">
        <f>SUM(C37:C40)</f>
        <v>406207.90000000008</v>
      </c>
      <c r="D41" s="45">
        <f>SUM(D37:D40)</f>
        <v>455273.11680645985</v>
      </c>
      <c r="E41" s="45">
        <f t="shared" ref="E41" si="18">SUM(E37:E40)</f>
        <v>-49065.216806459823</v>
      </c>
      <c r="F41" s="39">
        <f>-1+(C41/D41)</f>
        <v>-0.10777095109553281</v>
      </c>
      <c r="H41" s="45">
        <f>SUM(H37:H40)</f>
        <v>591135.69999999995</v>
      </c>
      <c r="I41" s="45">
        <f>SUM(I37:I40)</f>
        <v>545168.2287703536</v>
      </c>
      <c r="J41" s="45">
        <f>SUM(J37:J40)</f>
        <v>554080.33828643512</v>
      </c>
      <c r="K41" s="45">
        <f>SUM(K37:K40)</f>
        <v>519129</v>
      </c>
      <c r="L41" s="45">
        <f>SUM(L37:L40)</f>
        <v>415781</v>
      </c>
      <c r="M41" s="31">
        <f t="shared" ref="M41" si="19">SUM(M37:M40)</f>
        <v>400062.99999999994</v>
      </c>
      <c r="N41" s="11">
        <f>SUM(N37:N40)</f>
        <v>333733</v>
      </c>
      <c r="O41" s="11">
        <f>SUM(O37:O40)</f>
        <v>231656</v>
      </c>
      <c r="P41" s="26">
        <f>SUM(P37:P40)</f>
        <v>204653</v>
      </c>
      <c r="R41" s="120">
        <f>SUM(R37:R40)</f>
        <v>81685.799999999988</v>
      </c>
      <c r="S41" s="121">
        <f>SUM(S37:S40)</f>
        <v>324522.10000000009</v>
      </c>
      <c r="T41" s="120">
        <f>SUM(T37:T40)</f>
        <v>406207.90000000008</v>
      </c>
    </row>
    <row r="42" spans="2:20" ht="12.75" customHeight="1" x14ac:dyDescent="0.2">
      <c r="C42" s="32"/>
      <c r="D42" s="13"/>
      <c r="E42" s="13"/>
      <c r="F42" s="14"/>
      <c r="H42" s="13"/>
      <c r="I42" s="13"/>
      <c r="J42" s="13"/>
      <c r="K42" s="13"/>
      <c r="L42" s="13"/>
      <c r="M42" s="32"/>
      <c r="N42" s="13"/>
      <c r="O42" s="13"/>
      <c r="R42" s="32">
        <f>R41+R32</f>
        <v>90761.999999999985</v>
      </c>
      <c r="S42" s="32">
        <f>S41+S32</f>
        <v>360580.00000000012</v>
      </c>
      <c r="T42" s="32"/>
    </row>
    <row r="43" spans="2:20" ht="12.75" customHeight="1" x14ac:dyDescent="0.2">
      <c r="C43" s="32"/>
      <c r="M43" s="32"/>
    </row>
    <row r="44" spans="2:20" ht="12.75" hidden="1" customHeight="1" x14ac:dyDescent="0.2">
      <c r="C44" s="32"/>
      <c r="M44" s="32"/>
    </row>
    <row r="45" spans="2:20" ht="12.75" hidden="1" customHeight="1" x14ac:dyDescent="0.2">
      <c r="C45" s="32"/>
      <c r="M45" s="32"/>
    </row>
    <row r="46" spans="2:20" ht="17.25" customHeight="1" x14ac:dyDescent="0.25">
      <c r="B46" s="7" t="s">
        <v>70</v>
      </c>
      <c r="C46" s="32"/>
      <c r="M46" s="32"/>
    </row>
    <row r="47" spans="2:20" ht="12.75" customHeight="1" x14ac:dyDescent="0.2">
      <c r="B47" s="18" t="s">
        <v>3</v>
      </c>
      <c r="C47" s="51" t="s">
        <v>164</v>
      </c>
      <c r="D47" s="51" t="s">
        <v>145</v>
      </c>
      <c r="E47" s="24" t="s">
        <v>24</v>
      </c>
      <c r="F47" s="24" t="s">
        <v>23</v>
      </c>
      <c r="H47" s="51" t="s">
        <v>134</v>
      </c>
      <c r="I47" s="51" t="s">
        <v>111</v>
      </c>
      <c r="J47" s="51" t="s">
        <v>135</v>
      </c>
      <c r="K47" s="51" t="s">
        <v>43</v>
      </c>
      <c r="L47" s="51" t="s">
        <v>36</v>
      </c>
      <c r="M47" s="51" t="s">
        <v>136</v>
      </c>
      <c r="N47" s="36" t="s">
        <v>137</v>
      </c>
      <c r="O47" s="36" t="s">
        <v>138</v>
      </c>
      <c r="P47" s="33" t="s">
        <v>21</v>
      </c>
      <c r="S47" s="107"/>
    </row>
    <row r="48" spans="2:20" ht="12.75" customHeight="1" x14ac:dyDescent="0.2">
      <c r="B48" s="2" t="s">
        <v>7</v>
      </c>
      <c r="C48" s="30">
        <f>'State eml 4-1-22 Scott France'!AB6*0.4</f>
        <v>3432.1447447439105</v>
      </c>
      <c r="D48" s="30">
        <v>3910.4184725694954</v>
      </c>
      <c r="E48" s="8">
        <f t="shared" ref="E48:E53" si="20">C48-D48</f>
        <v>-478.27372782558496</v>
      </c>
      <c r="F48" s="9">
        <f t="shared" ref="F48:F53" si="21">-1+(C48/D48)</f>
        <v>-0.12230755638572777</v>
      </c>
      <c r="H48" s="30">
        <v>7997.72</v>
      </c>
      <c r="I48" s="30">
        <v>4921.2379251626808</v>
      </c>
      <c r="J48" s="30">
        <v>3853.2622609954697</v>
      </c>
      <c r="K48" s="30">
        <v>4253.3999999999996</v>
      </c>
      <c r="L48" s="30">
        <v>2799.01</v>
      </c>
      <c r="M48" s="30">
        <v>2190.2959999999998</v>
      </c>
      <c r="N48" s="8">
        <v>1442.6440000000002</v>
      </c>
      <c r="O48" s="8">
        <v>1293.8320000000001</v>
      </c>
      <c r="P48" s="29">
        <v>2036</v>
      </c>
      <c r="S48" s="107"/>
    </row>
    <row r="49" spans="2:19" ht="12.75" customHeight="1" x14ac:dyDescent="0.2">
      <c r="B49" s="2" t="s">
        <v>8</v>
      </c>
      <c r="C49" s="30">
        <f>'State eml 4-1-22 Scott France'!AB7*0.4</f>
        <v>3542.8920292277166</v>
      </c>
      <c r="D49" s="30">
        <v>4114.3777660585465</v>
      </c>
      <c r="E49" s="8">
        <f t="shared" si="20"/>
        <v>-571.48573683082986</v>
      </c>
      <c r="F49" s="9">
        <f t="shared" si="21"/>
        <v>-0.13889967555854665</v>
      </c>
      <c r="H49" s="30">
        <v>5278.68</v>
      </c>
      <c r="I49" s="30">
        <v>3940.7546689156206</v>
      </c>
      <c r="J49" s="30">
        <v>3248.1932610225649</v>
      </c>
      <c r="K49" s="30">
        <v>3147.7200000000003</v>
      </c>
      <c r="L49" s="30">
        <v>2080.59</v>
      </c>
      <c r="M49" s="30">
        <v>1943.5160000000001</v>
      </c>
      <c r="N49" s="8">
        <v>1759.3200000000002</v>
      </c>
      <c r="O49" s="8">
        <v>1737.36</v>
      </c>
      <c r="P49" s="30">
        <v>2688</v>
      </c>
      <c r="S49" s="107"/>
    </row>
    <row r="50" spans="2:19" ht="12.75" customHeight="1" x14ac:dyDescent="0.2">
      <c r="B50" s="2" t="s">
        <v>9</v>
      </c>
      <c r="C50" s="30">
        <f>'State eml 4-1-22 Scott France'!AB8*0.4</f>
        <v>2714.8008091477341</v>
      </c>
      <c r="D50" s="30">
        <v>2840.1259390385612</v>
      </c>
      <c r="E50" s="8">
        <f t="shared" si="20"/>
        <v>-125.32512989082716</v>
      </c>
      <c r="F50" s="9">
        <f t="shared" si="21"/>
        <v>-4.4126610080274187E-2</v>
      </c>
      <c r="H50" s="30">
        <v>5019.5600000000004</v>
      </c>
      <c r="I50" s="30">
        <v>3371.3087341660712</v>
      </c>
      <c r="J50" s="30">
        <v>2636.2756834755978</v>
      </c>
      <c r="K50" s="30">
        <v>2567.08</v>
      </c>
      <c r="L50" s="30">
        <v>1596.86</v>
      </c>
      <c r="M50" s="30">
        <v>1481.4960000000001</v>
      </c>
      <c r="N50" s="8">
        <v>1488.2280000000001</v>
      </c>
      <c r="O50" s="8">
        <v>1584.924</v>
      </c>
      <c r="P50" s="30">
        <v>1915</v>
      </c>
      <c r="S50" s="107"/>
    </row>
    <row r="51" spans="2:19" ht="12.75" customHeight="1" x14ac:dyDescent="0.2">
      <c r="B51" s="2" t="s">
        <v>10</v>
      </c>
      <c r="C51" s="30">
        <f>'State eml 4-1-22 Scott France'!AB9*0.4-1</f>
        <v>12914.88241688064</v>
      </c>
      <c r="D51" s="30">
        <v>13843.177083049515</v>
      </c>
      <c r="E51" s="8">
        <f t="shared" si="20"/>
        <v>-928.29466616887476</v>
      </c>
      <c r="F51" s="9">
        <f t="shared" si="21"/>
        <v>-6.7057920345867661E-2</v>
      </c>
      <c r="H51" s="30">
        <v>15374.48</v>
      </c>
      <c r="I51" s="30">
        <v>12433.9576300176</v>
      </c>
      <c r="J51" s="30">
        <v>10775.808739940587</v>
      </c>
      <c r="K51" s="30">
        <v>8923.56</v>
      </c>
      <c r="L51" s="30">
        <v>5418.14</v>
      </c>
      <c r="M51" s="30">
        <v>4796.2920000000004</v>
      </c>
      <c r="N51" s="8">
        <v>4646.2080000000005</v>
      </c>
      <c r="O51" s="8">
        <v>5179.0839999999998</v>
      </c>
      <c r="P51" s="30">
        <v>5158</v>
      </c>
    </row>
    <row r="52" spans="2:19" ht="12.75" customHeight="1" thickBot="1" x14ac:dyDescent="0.25">
      <c r="B52" s="2" t="s">
        <v>11</v>
      </c>
      <c r="C52" s="30">
        <f>'State eml 4-1-22 Scott France'!AB10*0.6</f>
        <v>33908.58</v>
      </c>
      <c r="D52" s="30">
        <v>37062.148891074175</v>
      </c>
      <c r="E52" s="8">
        <f t="shared" si="20"/>
        <v>-3153.5688910741737</v>
      </c>
      <c r="F52" s="9">
        <f t="shared" si="21"/>
        <v>-8.5088668235145382E-2</v>
      </c>
      <c r="H52" s="30">
        <v>50505.659999999996</v>
      </c>
      <c r="I52" s="52">
        <v>37000.888437392954</v>
      </c>
      <c r="J52" s="52">
        <v>30770.309918151328</v>
      </c>
      <c r="K52" s="52">
        <v>28337.239999999998</v>
      </c>
      <c r="L52" s="30">
        <v>17843.399999999998</v>
      </c>
      <c r="M52" s="52">
        <v>15617.4</v>
      </c>
      <c r="N52" s="8">
        <v>14004.6</v>
      </c>
      <c r="O52" s="8">
        <v>14692.8</v>
      </c>
      <c r="P52" s="30">
        <v>17696</v>
      </c>
    </row>
    <row r="53" spans="2:19" ht="12.75" customHeight="1" thickBot="1" x14ac:dyDescent="0.25">
      <c r="C53" s="56">
        <f>SUM(C48:C52)+1</f>
        <v>56514.3</v>
      </c>
      <c r="D53" s="11">
        <f>SUM(D48:D52)</f>
        <v>61770.248151790292</v>
      </c>
      <c r="E53" s="11">
        <f t="shared" si="20"/>
        <v>-5255.9481517902896</v>
      </c>
      <c r="F53" s="9">
        <f t="shared" si="21"/>
        <v>-8.5088668235145382E-2</v>
      </c>
      <c r="H53" s="11">
        <f>SUM(H48:H52)</f>
        <v>84176.1</v>
      </c>
      <c r="I53" s="45">
        <f>SUM(I48:I52)</f>
        <v>61668.147395654923</v>
      </c>
      <c r="J53" s="45">
        <f t="shared" ref="J53:O53" si="22">SUM(J48:J52)</f>
        <v>51283.84986358555</v>
      </c>
      <c r="K53" s="31">
        <f t="shared" si="22"/>
        <v>47229</v>
      </c>
      <c r="L53" s="11">
        <f t="shared" si="22"/>
        <v>29738</v>
      </c>
      <c r="M53" s="31">
        <f t="shared" si="22"/>
        <v>26029</v>
      </c>
      <c r="N53" s="11">
        <f t="shared" si="22"/>
        <v>23341</v>
      </c>
      <c r="O53" s="11">
        <f t="shared" si="22"/>
        <v>24488</v>
      </c>
      <c r="P53" s="31">
        <v>29493</v>
      </c>
    </row>
    <row r="54" spans="2:19" ht="12.75" customHeight="1" x14ac:dyDescent="0.2">
      <c r="C54" s="32"/>
      <c r="D54" s="32"/>
      <c r="H54" s="32"/>
      <c r="I54" s="32"/>
      <c r="J54" s="32"/>
      <c r="K54" s="32"/>
      <c r="L54" s="32"/>
      <c r="M54" s="32"/>
      <c r="P54" s="32"/>
    </row>
    <row r="55" spans="2:19" ht="12.75" customHeight="1" x14ac:dyDescent="0.2">
      <c r="C55" s="32"/>
      <c r="D55" s="32"/>
      <c r="H55" s="32"/>
      <c r="I55" s="32"/>
      <c r="J55" s="32"/>
      <c r="K55" s="32"/>
      <c r="L55" s="32"/>
      <c r="M55" s="32"/>
      <c r="P55" s="32"/>
    </row>
    <row r="56" spans="2:19" ht="12.75" customHeight="1" x14ac:dyDescent="0.25">
      <c r="B56" s="7" t="s">
        <v>71</v>
      </c>
      <c r="C56" s="32"/>
      <c r="D56" s="32"/>
      <c r="H56" s="32"/>
      <c r="I56" s="32"/>
      <c r="J56" s="32"/>
      <c r="K56" s="32"/>
      <c r="L56" s="32"/>
      <c r="M56" s="32"/>
      <c r="P56" s="32"/>
    </row>
    <row r="57" spans="2:19" ht="12.75" customHeight="1" x14ac:dyDescent="0.2">
      <c r="B57" s="18" t="s">
        <v>3</v>
      </c>
      <c r="C57" s="51" t="str">
        <f>C47</f>
        <v>PY 22</v>
      </c>
      <c r="D57" s="51" t="s">
        <v>145</v>
      </c>
      <c r="E57" s="24" t="s">
        <v>24</v>
      </c>
      <c r="F57" s="24" t="s">
        <v>23</v>
      </c>
      <c r="H57" s="51" t="str">
        <f>H47</f>
        <v>PY 20</v>
      </c>
      <c r="I57" s="51" t="str">
        <f>I47</f>
        <v xml:space="preserve">PY19 </v>
      </c>
      <c r="J57" s="51" t="str">
        <f t="shared" ref="J57:O57" si="23">J47</f>
        <v xml:space="preserve">PY18 </v>
      </c>
      <c r="K57" s="51" t="str">
        <f t="shared" si="23"/>
        <v>PY17 Final</v>
      </c>
      <c r="L57" s="51" t="str">
        <f t="shared" si="23"/>
        <v>PY16 Final</v>
      </c>
      <c r="M57" s="51" t="str">
        <f t="shared" si="23"/>
        <v xml:space="preserve">PY15 </v>
      </c>
      <c r="N57" s="28" t="str">
        <f t="shared" si="23"/>
        <v>PY14</v>
      </c>
      <c r="O57" s="36" t="str">
        <f t="shared" si="23"/>
        <v>PY13</v>
      </c>
      <c r="P57" s="33" t="s">
        <v>21</v>
      </c>
    </row>
    <row r="58" spans="2:19" ht="12.75" customHeight="1" x14ac:dyDescent="0.2">
      <c r="B58" s="2" t="s">
        <v>7</v>
      </c>
      <c r="C58" s="30">
        <f>'State eml 4-1-22 Scott France'!AA6</f>
        <v>77223.256756737974</v>
      </c>
      <c r="D58" s="30">
        <v>87984.415632813645</v>
      </c>
      <c r="E58" s="8">
        <f>C58-D58</f>
        <v>-10761.158876075671</v>
      </c>
      <c r="F58" s="9">
        <f>-1+(C58/D58)</f>
        <v>-0.12230755638572788</v>
      </c>
      <c r="H58" s="30">
        <v>179948.7</v>
      </c>
      <c r="I58" s="30">
        <v>110727.85331616033</v>
      </c>
      <c r="J58" s="30">
        <v>86698.400872398066</v>
      </c>
      <c r="K58" s="30">
        <v>95701.39</v>
      </c>
      <c r="L58" s="30">
        <v>62977.34</v>
      </c>
      <c r="M58" s="30">
        <v>49275.12</v>
      </c>
      <c r="N58" s="8">
        <v>32458.95</v>
      </c>
      <c r="O58" s="8">
        <v>29111.09</v>
      </c>
      <c r="P58" s="29">
        <v>45806</v>
      </c>
    </row>
    <row r="59" spans="2:19" ht="12.75" customHeight="1" x14ac:dyDescent="0.2">
      <c r="B59" s="2" t="s">
        <v>8</v>
      </c>
      <c r="C59" s="30">
        <f>'State eml 4-1-22 Scott France'!AA7</f>
        <v>79715.070657623626</v>
      </c>
      <c r="D59" s="30">
        <v>92573.499736317288</v>
      </c>
      <c r="E59" s="8">
        <f>C59-D59</f>
        <v>-12858.429078693662</v>
      </c>
      <c r="F59" s="9">
        <f>-1+(C59/D59)</f>
        <v>-0.13889967555854654</v>
      </c>
      <c r="H59" s="30">
        <v>118770.3</v>
      </c>
      <c r="I59" s="30">
        <v>88666.980050601458</v>
      </c>
      <c r="J59" s="30">
        <v>73084.348373007713</v>
      </c>
      <c r="K59" s="30">
        <v>70823.56</v>
      </c>
      <c r="L59" s="30">
        <v>46824.45</v>
      </c>
      <c r="M59" s="30">
        <v>43728.45</v>
      </c>
      <c r="N59" s="8">
        <v>39584.300000000003</v>
      </c>
      <c r="O59" s="8">
        <v>39091.47</v>
      </c>
      <c r="P59" s="30">
        <v>60495</v>
      </c>
    </row>
    <row r="60" spans="2:19" ht="12.75" customHeight="1" x14ac:dyDescent="0.2">
      <c r="B60" s="2" t="s">
        <v>9</v>
      </c>
      <c r="C60" s="30">
        <f>'State eml 4-1-22 Scott France'!AA8</f>
        <v>61083.01820582401</v>
      </c>
      <c r="D60" s="30">
        <v>63903.833628367625</v>
      </c>
      <c r="E60" s="8">
        <f>C60-D60</f>
        <v>-2820.8154225436156</v>
      </c>
      <c r="F60" s="9">
        <f>-1+(C60/D60)</f>
        <v>-4.4141568077872284E-2</v>
      </c>
      <c r="H60" s="30">
        <v>112940.1</v>
      </c>
      <c r="I60" s="30">
        <v>75854.4465187366</v>
      </c>
      <c r="J60" s="30">
        <v>59316.202878200951</v>
      </c>
      <c r="K60" s="30">
        <v>57759.56</v>
      </c>
      <c r="L60" s="30">
        <v>35937.519999999997</v>
      </c>
      <c r="M60" s="30">
        <v>33333.94</v>
      </c>
      <c r="N60" s="8">
        <v>33483.57</v>
      </c>
      <c r="O60" s="8">
        <v>35659.57</v>
      </c>
      <c r="P60" s="30">
        <v>43091</v>
      </c>
    </row>
    <row r="61" spans="2:19" ht="13.5" thickBot="1" x14ac:dyDescent="0.25">
      <c r="B61" s="2" t="s">
        <v>10</v>
      </c>
      <c r="C61" s="30">
        <f>'State eml 4-1-22 Scott France'!AA9+1</f>
        <v>290608.35437981441</v>
      </c>
      <c r="D61" s="52">
        <v>311471.4843686141</v>
      </c>
      <c r="E61" s="8">
        <f>C61-D61</f>
        <v>-20863.129988799687</v>
      </c>
      <c r="F61" s="9">
        <f>-1+(C61/D61)</f>
        <v>-6.6982472026585249E-2</v>
      </c>
      <c r="H61" s="52">
        <v>345925.8</v>
      </c>
      <c r="I61" s="52">
        <v>279764.04667539604</v>
      </c>
      <c r="J61" s="52">
        <v>242455.6966486632</v>
      </c>
      <c r="K61" s="52">
        <v>200779.49</v>
      </c>
      <c r="L61" s="52">
        <v>121913.69</v>
      </c>
      <c r="M61" s="52">
        <v>107921.49</v>
      </c>
      <c r="N61" s="8">
        <v>104539.18</v>
      </c>
      <c r="O61" s="8">
        <v>116527.87</v>
      </c>
      <c r="P61" s="30">
        <v>116044</v>
      </c>
    </row>
    <row r="62" spans="2:19" ht="13.5" thickBot="1" x14ac:dyDescent="0.25">
      <c r="C62" s="57">
        <f>SUM(C58:C61)-1</f>
        <v>508628.7</v>
      </c>
      <c r="D62" s="31">
        <f>SUM(D58:D61)</f>
        <v>555933.23336611269</v>
      </c>
      <c r="E62" s="11">
        <f>C62-D62</f>
        <v>-47304.533366112679</v>
      </c>
      <c r="F62" s="9">
        <f>-1+(C62/D62)</f>
        <v>-8.5090313956748154E-2</v>
      </c>
      <c r="H62" s="31">
        <f>SUM(H58:H61)</f>
        <v>757584.89999999991</v>
      </c>
      <c r="I62" s="31">
        <f>SUM(I58:I61)</f>
        <v>555013.32656089449</v>
      </c>
      <c r="J62" s="31">
        <f t="shared" ref="J62:O62" si="24">SUM(J58:J61)</f>
        <v>461554.64877226995</v>
      </c>
      <c r="K62" s="31">
        <f t="shared" si="24"/>
        <v>425064</v>
      </c>
      <c r="L62" s="31">
        <f t="shared" si="24"/>
        <v>267653</v>
      </c>
      <c r="M62" s="31">
        <f t="shared" si="24"/>
        <v>234259</v>
      </c>
      <c r="N62" s="11">
        <f t="shared" si="24"/>
        <v>210066</v>
      </c>
      <c r="O62" s="11">
        <f t="shared" si="24"/>
        <v>220390</v>
      </c>
      <c r="P62" s="30">
        <v>265436</v>
      </c>
    </row>
    <row r="63" spans="2:19" ht="13.5" thickBot="1" x14ac:dyDescent="0.25">
      <c r="C63" s="32">
        <f>C53+C62</f>
        <v>565143</v>
      </c>
      <c r="D63" s="32"/>
      <c r="H63" s="32"/>
      <c r="I63" s="32"/>
      <c r="J63" s="32"/>
      <c r="K63" s="32"/>
      <c r="L63" s="32"/>
      <c r="M63" s="32"/>
      <c r="P63" s="32"/>
    </row>
    <row r="64" spans="2:19" x14ac:dyDescent="0.2">
      <c r="B64" s="23" t="s">
        <v>26</v>
      </c>
      <c r="C64" s="13">
        <f>C13+C22+C32+C41+C53+C62</f>
        <v>1565403</v>
      </c>
      <c r="D64" s="13">
        <f>D13+D22+D32+D41+D53+D62</f>
        <v>1727051.304855302</v>
      </c>
      <c r="F64" s="173" t="s">
        <v>186</v>
      </c>
      <c r="G64" s="174"/>
      <c r="H64" s="13">
        <f>H13+H22+H32+H41+H53+H62</f>
        <v>2315987</v>
      </c>
      <c r="I64" s="13">
        <f>I13+I22+I32+I41+I53+I62</f>
        <v>1827685.5198759558</v>
      </c>
      <c r="J64" s="13">
        <f>J13+J22+J32+J41+J53+J62</f>
        <v>1631897.6641830297</v>
      </c>
      <c r="K64" s="13">
        <f t="shared" ref="K64:P64" si="25">K13+K22+K32+K41+K53+K62</f>
        <v>1512000</v>
      </c>
      <c r="L64" s="13">
        <f t="shared" si="25"/>
        <v>1058610</v>
      </c>
      <c r="M64" s="13">
        <f t="shared" si="25"/>
        <v>973092.99</v>
      </c>
      <c r="N64" s="13">
        <f t="shared" si="25"/>
        <v>845539.99</v>
      </c>
      <c r="O64" s="13">
        <f t="shared" si="25"/>
        <v>745119</v>
      </c>
      <c r="P64" s="13">
        <f t="shared" si="25"/>
        <v>804617</v>
      </c>
    </row>
    <row r="65" spans="2:15" x14ac:dyDescent="0.2">
      <c r="B65" t="s">
        <v>32</v>
      </c>
      <c r="C65" s="38">
        <f>C64/D64</f>
        <v>0.90640214080447057</v>
      </c>
      <c r="D65" s="38">
        <f>D64/H64</f>
        <v>0.74570854881970494</v>
      </c>
      <c r="F65" s="175">
        <f>1-D65</f>
        <v>0.25429145118029506</v>
      </c>
      <c r="G65" s="176"/>
      <c r="H65" s="38">
        <f>H64/I64</f>
        <v>1.2671693104824648</v>
      </c>
      <c r="I65" s="38">
        <f>I64/J64</f>
        <v>1.119975571992097</v>
      </c>
      <c r="J65" s="38">
        <f t="shared" ref="J65:O65" si="26">J64/K64</f>
        <v>1.0792973969464481</v>
      </c>
      <c r="K65" s="38">
        <f t="shared" si="26"/>
        <v>1.428288038087681</v>
      </c>
      <c r="L65" s="38">
        <f t="shared" si="26"/>
        <v>1.0878816422261968</v>
      </c>
      <c r="M65" s="38">
        <f t="shared" si="26"/>
        <v>1.1508538939713544</v>
      </c>
      <c r="N65" s="38">
        <f t="shared" si="26"/>
        <v>1.1347717478684614</v>
      </c>
      <c r="O65" s="38">
        <f t="shared" si="26"/>
        <v>0.92605425935569341</v>
      </c>
    </row>
    <row r="66" spans="2:15" x14ac:dyDescent="0.2">
      <c r="F66" s="177">
        <f>H64*F65</f>
        <v>588935.69514469802</v>
      </c>
      <c r="G66" s="176"/>
    </row>
    <row r="67" spans="2:15" ht="13.5" thickBot="1" x14ac:dyDescent="0.25">
      <c r="C67" t="s">
        <v>106</v>
      </c>
      <c r="D67" s="23" t="s">
        <v>108</v>
      </c>
      <c r="E67" s="13"/>
      <c r="F67" s="178">
        <f>D64+F66</f>
        <v>2315987</v>
      </c>
      <c r="G67" s="179"/>
      <c r="I67" s="13"/>
    </row>
    <row r="68" spans="2:15" x14ac:dyDescent="0.2">
      <c r="B68" s="23" t="s">
        <v>7</v>
      </c>
      <c r="C68" s="13">
        <f>C18+C37+C58</f>
        <v>278723.41251620883</v>
      </c>
      <c r="D68" s="32">
        <f>C8+C27+C48</f>
        <v>12387.707222942616</v>
      </c>
      <c r="E68" s="13"/>
      <c r="I68" s="13"/>
    </row>
    <row r="69" spans="2:15" x14ac:dyDescent="0.2">
      <c r="B69" s="23" t="s">
        <v>8</v>
      </c>
      <c r="C69" s="13">
        <f>C19+C38+C59</f>
        <v>222844.33338470844</v>
      </c>
      <c r="D69" s="32">
        <f>C9+C28+C49</f>
        <v>9904.192594875929</v>
      </c>
      <c r="E69" s="13"/>
      <c r="I69" s="13"/>
    </row>
    <row r="70" spans="2:15" x14ac:dyDescent="0.2">
      <c r="B70" s="23" t="s">
        <v>9</v>
      </c>
      <c r="C70" s="13">
        <f>C20+C39+C60</f>
        <v>209076.68685985048</v>
      </c>
      <c r="D70" s="32">
        <f>C10+C29+C50</f>
        <v>9292.2971937711336</v>
      </c>
      <c r="E70" s="13"/>
      <c r="I70" s="13"/>
    </row>
    <row r="71" spans="2:15" x14ac:dyDescent="0.2">
      <c r="B71" s="23" t="s">
        <v>155</v>
      </c>
      <c r="C71" s="13">
        <f>C21+C40+C61</f>
        <v>698219.36723923241</v>
      </c>
      <c r="D71" s="32">
        <f>C11+C30+C51</f>
        <v>31030.882988410325</v>
      </c>
    </row>
    <row r="72" spans="2:15" x14ac:dyDescent="0.2">
      <c r="B72" s="23" t="s">
        <v>11</v>
      </c>
      <c r="D72" s="155">
        <f>C12+C31+C52</f>
        <v>93924.12000000001</v>
      </c>
    </row>
    <row r="73" spans="2:15" ht="13.5" thickBot="1" x14ac:dyDescent="0.25">
      <c r="C73" s="147">
        <f>SUM(C68:C72)</f>
        <v>1408863.8000000003</v>
      </c>
      <c r="D73" s="118">
        <f>SUM(D68:D72)</f>
        <v>156539.20000000001</v>
      </c>
      <c r="E73" s="13">
        <f>C73+D73</f>
        <v>1565403.0000000002</v>
      </c>
    </row>
    <row r="74" spans="2:15" ht="13.5" thickTop="1" x14ac:dyDescent="0.2"/>
  </sheetData>
  <pageMargins left="0.75" right="0.75" top="1" bottom="1" header="0.5" footer="0.5"/>
  <pageSetup scale="5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32B2A-3580-47B9-AC44-21F2FE45FC70}">
  <sheetPr>
    <pageSetUpPr fitToPage="1"/>
  </sheetPr>
  <dimension ref="A1:AC26"/>
  <sheetViews>
    <sheetView topLeftCell="L4" workbookViewId="0">
      <selection activeCell="AA12" sqref="AA12"/>
    </sheetView>
  </sheetViews>
  <sheetFormatPr defaultColWidth="9.140625" defaultRowHeight="15.75" x14ac:dyDescent="0.25"/>
  <cols>
    <col min="1" max="1" width="9.28515625" style="156" bestFit="1" customWidth="1"/>
    <col min="2" max="2" width="10" style="156" customWidth="1"/>
    <col min="3" max="3" width="9.140625" style="156"/>
    <col min="4" max="4" width="13.85546875" style="156" bestFit="1" customWidth="1"/>
    <col min="5" max="5" width="15" style="156" customWidth="1"/>
    <col min="6" max="6" width="13.85546875" style="156" bestFit="1" customWidth="1"/>
    <col min="7" max="7" width="12.7109375" style="156" bestFit="1" customWidth="1"/>
    <col min="8" max="8" width="16.42578125" style="156" bestFit="1" customWidth="1"/>
    <col min="9" max="9" width="13" style="157" bestFit="1" customWidth="1"/>
    <col min="10" max="10" width="10.85546875" style="157" bestFit="1" customWidth="1"/>
    <col min="11" max="11" width="10" style="157" customWidth="1"/>
    <col min="12" max="12" width="11.85546875" style="157" bestFit="1" customWidth="1"/>
    <col min="13" max="13" width="10.7109375" style="157" bestFit="1" customWidth="1"/>
    <col min="14" max="14" width="10.85546875" style="157" bestFit="1" customWidth="1"/>
    <col min="15" max="15" width="6.140625" style="156" bestFit="1" customWidth="1"/>
    <col min="16" max="16" width="10.140625" style="156" customWidth="1"/>
    <col min="17" max="17" width="9.140625" style="156"/>
    <col min="18" max="18" width="10.7109375" style="156" customWidth="1"/>
    <col min="19" max="19" width="10.28515625" style="156" customWidth="1"/>
    <col min="20" max="21" width="11" style="156" customWidth="1"/>
    <col min="22" max="22" width="9.5703125" style="156" bestFit="1" customWidth="1"/>
    <col min="23" max="23" width="13" style="156" customWidth="1"/>
    <col min="24" max="24" width="10.140625" style="156" bestFit="1" customWidth="1"/>
    <col min="25" max="25" width="10.42578125" style="156" customWidth="1"/>
    <col min="26" max="26" width="10.28515625" style="156" customWidth="1"/>
    <col min="27" max="27" width="10.140625" style="156" bestFit="1" customWidth="1"/>
    <col min="28" max="28" width="9.5703125" style="156" bestFit="1" customWidth="1"/>
    <col min="29" max="29" width="8.85546875" style="156" bestFit="1" customWidth="1"/>
    <col min="30" max="30" width="9.5703125" style="156" bestFit="1" customWidth="1"/>
    <col min="31" max="31" width="9" style="156" bestFit="1" customWidth="1"/>
    <col min="32" max="16384" width="9.140625" style="156"/>
  </cols>
  <sheetData>
    <row r="1" spans="1:29" x14ac:dyDescent="0.25">
      <c r="A1" s="156" t="s">
        <v>39</v>
      </c>
    </row>
    <row r="2" spans="1:29" x14ac:dyDescent="0.25">
      <c r="A2" s="156" t="s">
        <v>165</v>
      </c>
    </row>
    <row r="3" spans="1:29" x14ac:dyDescent="0.25">
      <c r="A3" s="156" t="s">
        <v>166</v>
      </c>
    </row>
    <row r="4" spans="1:29" x14ac:dyDescent="0.25">
      <c r="O4"/>
      <c r="P4" s="164" t="s">
        <v>178</v>
      </c>
      <c r="Q4"/>
      <c r="R4"/>
      <c r="S4"/>
      <c r="T4"/>
      <c r="U4" s="164" t="s">
        <v>179</v>
      </c>
      <c r="V4"/>
      <c r="W4" t="s">
        <v>161</v>
      </c>
      <c r="X4"/>
      <c r="Y4"/>
      <c r="Z4"/>
      <c r="AA4"/>
      <c r="AB4"/>
      <c r="AC4"/>
    </row>
    <row r="5" spans="1:29" s="158" customFormat="1" ht="31.5" x14ac:dyDescent="0.25">
      <c r="D5" s="158" t="s">
        <v>64</v>
      </c>
      <c r="E5" s="158" t="s">
        <v>62</v>
      </c>
      <c r="F5" s="158" t="s">
        <v>167</v>
      </c>
      <c r="G5" s="158" t="s">
        <v>87</v>
      </c>
      <c r="I5" s="163" t="s">
        <v>172</v>
      </c>
      <c r="J5" s="163" t="s">
        <v>173</v>
      </c>
      <c r="K5" s="163" t="s">
        <v>174</v>
      </c>
      <c r="L5" s="163" t="s">
        <v>175</v>
      </c>
      <c r="M5" s="163" t="s">
        <v>176</v>
      </c>
      <c r="N5" s="163" t="s">
        <v>177</v>
      </c>
      <c r="O5"/>
      <c r="P5" s="163"/>
      <c r="Q5" s="163" t="s">
        <v>180</v>
      </c>
      <c r="R5" s="163" t="s">
        <v>181</v>
      </c>
      <c r="S5"/>
      <c r="T5"/>
      <c r="U5"/>
      <c r="V5"/>
      <c r="W5" s="163" t="s">
        <v>172</v>
      </c>
      <c r="X5" s="163" t="s">
        <v>173</v>
      </c>
      <c r="Y5" s="163" t="s">
        <v>174</v>
      </c>
      <c r="Z5" s="163" t="s">
        <v>175</v>
      </c>
      <c r="AA5" s="163" t="s">
        <v>176</v>
      </c>
      <c r="AB5" s="163" t="s">
        <v>177</v>
      </c>
      <c r="AC5"/>
    </row>
    <row r="6" spans="1:29" x14ac:dyDescent="0.25">
      <c r="A6" s="156">
        <v>56</v>
      </c>
      <c r="B6" s="156" t="s">
        <v>7</v>
      </c>
      <c r="C6" s="156" t="s">
        <v>5</v>
      </c>
      <c r="D6" s="159">
        <v>84398.208078511539</v>
      </c>
      <c r="E6" s="159">
        <v>107234.73577532131</v>
      </c>
      <c r="F6" s="159">
        <v>84855.392039064041</v>
      </c>
      <c r="G6" s="159">
        <f>SUM(D6:F6)</f>
        <v>276488.33589289687</v>
      </c>
      <c r="I6" s="157">
        <f>D6*0.9</f>
        <v>75958.387270660387</v>
      </c>
      <c r="J6" s="157">
        <f>D6*0.1</f>
        <v>8439.8208078511543</v>
      </c>
      <c r="K6" s="157">
        <f>E6*0.9</f>
        <v>96511.262197789183</v>
      </c>
      <c r="L6" s="157">
        <f>E6*0.1</f>
        <v>10723.473577532131</v>
      </c>
      <c r="M6" s="157">
        <f>F6*0.9</f>
        <v>76369.852835157639</v>
      </c>
      <c r="N6" s="157">
        <f>F6*0.1</f>
        <v>8485.5392039064045</v>
      </c>
      <c r="O6" t="s">
        <v>182</v>
      </c>
      <c r="P6">
        <v>548918</v>
      </c>
      <c r="Q6">
        <v>100372</v>
      </c>
      <c r="R6">
        <v>448546</v>
      </c>
      <c r="S6">
        <f>Q6+R6</f>
        <v>548918</v>
      </c>
      <c r="T6"/>
      <c r="U6" s="165">
        <f>P6-D10</f>
        <v>4397.3186436395627</v>
      </c>
      <c r="V6" s="156" t="s">
        <v>7</v>
      </c>
      <c r="W6" s="166">
        <f>$Q$6*0.9*X22</f>
        <v>14001.479664903951</v>
      </c>
      <c r="X6" s="166">
        <f>$Q$6*0.1*X22</f>
        <v>1555.7199627671057</v>
      </c>
      <c r="Y6" s="166">
        <f>$Q$7*0.9*Z22</f>
        <v>12402.059708348244</v>
      </c>
      <c r="Z6" s="166">
        <f>$Q$7*0.1*Z22</f>
        <v>1378.0066342609161</v>
      </c>
      <c r="AA6" s="166">
        <f>P$8*0.9*Z22</f>
        <v>77223.256756737974</v>
      </c>
      <c r="AB6" s="166">
        <f>P$8*0.1*Z22</f>
        <v>8580.3618618597757</v>
      </c>
      <c r="AC6"/>
    </row>
    <row r="7" spans="1:29" x14ac:dyDescent="0.25">
      <c r="A7" s="156">
        <v>58</v>
      </c>
      <c r="B7" s="156" t="s">
        <v>8</v>
      </c>
      <c r="C7" s="156" t="s">
        <v>5</v>
      </c>
      <c r="D7" s="159">
        <v>83533.254076923593</v>
      </c>
      <c r="E7" s="159">
        <v>71329.338726186368</v>
      </c>
      <c r="F7" s="159">
        <v>87593.477096964591</v>
      </c>
      <c r="G7" s="159">
        <f>SUM(D7:F7)</f>
        <v>242456.06990007457</v>
      </c>
      <c r="I7" s="157">
        <f t="shared" ref="I7:I9" si="0">D7*0.9</f>
        <v>75179.928669231231</v>
      </c>
      <c r="J7" s="157">
        <f t="shared" ref="J7:J9" si="1">D7*0.1</f>
        <v>8353.3254076923604</v>
      </c>
      <c r="K7" s="157">
        <f t="shared" ref="K7:K9" si="2">E7*0.9</f>
        <v>64196.404853567736</v>
      </c>
      <c r="L7" s="157">
        <f t="shared" ref="L7:L9" si="3">E7*0.1</f>
        <v>7132.933872618637</v>
      </c>
      <c r="M7" s="157">
        <f t="shared" ref="M7:M9" si="4">F7*0.9</f>
        <v>78834.129387268127</v>
      </c>
      <c r="N7" s="157">
        <f t="shared" ref="N7:N9" si="5">F7*0.1</f>
        <v>8759.3477096964598</v>
      </c>
      <c r="O7" t="s">
        <v>183</v>
      </c>
      <c r="P7">
        <v>451341</v>
      </c>
      <c r="Q7">
        <v>90762</v>
      </c>
      <c r="R7">
        <v>360579</v>
      </c>
      <c r="S7">
        <f>Q7+R7</f>
        <v>451341</v>
      </c>
      <c r="T7"/>
      <c r="U7" s="165">
        <f>P7-E10</f>
        <v>5360.5085578343133</v>
      </c>
      <c r="V7" s="156" t="s">
        <v>8</v>
      </c>
      <c r="W7" s="166">
        <f>$Q$6*0.9*X23</f>
        <v>13857.985672080726</v>
      </c>
      <c r="X7" s="166">
        <f>$Q$6*0.1*X23</f>
        <v>1539.7761857867474</v>
      </c>
      <c r="Y7" s="166">
        <f>$Q$7*0.9*Z23</f>
        <v>12802.245171624236</v>
      </c>
      <c r="Z7" s="166">
        <f>$Q$7*0.1*Z23</f>
        <v>1422.4716857360263</v>
      </c>
      <c r="AA7" s="166">
        <f>P$8*0.9*Z23</f>
        <v>79715.070657623626</v>
      </c>
      <c r="AB7" s="166">
        <f>P$8*0.1*Z23</f>
        <v>8857.2300730692914</v>
      </c>
      <c r="AC7"/>
    </row>
    <row r="8" spans="1:29" x14ac:dyDescent="0.25">
      <c r="A8" s="156">
        <v>61</v>
      </c>
      <c r="B8" s="156" t="s">
        <v>9</v>
      </c>
      <c r="C8" s="156" t="s">
        <v>5</v>
      </c>
      <c r="D8" s="159">
        <v>83230.244713309978</v>
      </c>
      <c r="E8" s="159">
        <v>76171.826717756587</v>
      </c>
      <c r="F8" s="159">
        <v>67119.980100194749</v>
      </c>
      <c r="G8" s="159">
        <f>SUM(D8:F8)</f>
        <v>226522.0515312613</v>
      </c>
      <c r="I8" s="157">
        <f t="shared" si="0"/>
        <v>74907.220241978983</v>
      </c>
      <c r="J8" s="157">
        <f t="shared" si="1"/>
        <v>8323.0244713309985</v>
      </c>
      <c r="K8" s="157">
        <f t="shared" si="2"/>
        <v>68554.644045980924</v>
      </c>
      <c r="L8" s="157">
        <f t="shared" si="3"/>
        <v>7617.1826717756594</v>
      </c>
      <c r="M8" s="157">
        <f t="shared" si="4"/>
        <v>60407.982090175276</v>
      </c>
      <c r="N8" s="157">
        <f t="shared" si="5"/>
        <v>6711.9980100194753</v>
      </c>
      <c r="O8" t="s">
        <v>184</v>
      </c>
      <c r="P8">
        <v>565143</v>
      </c>
      <c r="Q8"/>
      <c r="R8"/>
      <c r="S8"/>
      <c r="T8"/>
      <c r="U8" s="165">
        <f>P8-F10</f>
        <v>6245.466362199164</v>
      </c>
      <c r="V8" s="156" t="s">
        <v>9</v>
      </c>
      <c r="W8" s="166">
        <f>$Q$6*0.9*X24</f>
        <v>13807.717075868768</v>
      </c>
      <c r="X8" s="166">
        <f>$Q$6*0.1*X24</f>
        <v>1534.1907862076409</v>
      </c>
      <c r="Y8" s="166">
        <f>$Q$7*0.9*Z24</f>
        <v>9809.9364203343193</v>
      </c>
      <c r="Z8" s="166">
        <f>$Q$7*0.1*Z24</f>
        <v>1089.9929355927022</v>
      </c>
      <c r="AA8" s="166">
        <f>P$8*0.9*Z24</f>
        <v>61083.01820582401</v>
      </c>
      <c r="AB8" s="166">
        <f>P$8*0.1*Z24</f>
        <v>6787.0020228693347</v>
      </c>
      <c r="AC8"/>
    </row>
    <row r="9" spans="1:29" ht="16.5" thickBot="1" x14ac:dyDescent="0.3">
      <c r="A9" s="156">
        <v>84</v>
      </c>
      <c r="B9" s="156" t="s">
        <v>10</v>
      </c>
      <c r="C9" s="156" t="s">
        <v>5</v>
      </c>
      <c r="D9" s="159">
        <v>293358.97448761534</v>
      </c>
      <c r="E9" s="159">
        <v>191244.59022290143</v>
      </c>
      <c r="F9" s="159">
        <v>319328.68440157745</v>
      </c>
      <c r="G9" s="159">
        <f>SUM(D9:F9)</f>
        <v>803932.24911209429</v>
      </c>
      <c r="I9" s="157">
        <f t="shared" si="0"/>
        <v>264023.07703885384</v>
      </c>
      <c r="J9" s="157">
        <f t="shared" si="1"/>
        <v>29335.897448761534</v>
      </c>
      <c r="K9" s="157">
        <f t="shared" si="2"/>
        <v>172120.1312006113</v>
      </c>
      <c r="L9" s="157">
        <f t="shared" si="3"/>
        <v>19124.459022290142</v>
      </c>
      <c r="M9" s="157">
        <f t="shared" si="4"/>
        <v>287395.81596141972</v>
      </c>
      <c r="N9" s="157">
        <f t="shared" si="5"/>
        <v>31932.868440157748</v>
      </c>
      <c r="O9"/>
      <c r="P9" s="167">
        <f>SUM(P6:P8)</f>
        <v>1565402</v>
      </c>
      <c r="Q9"/>
      <c r="R9"/>
      <c r="S9"/>
      <c r="T9"/>
      <c r="U9" s="168">
        <f>SUM(U6:U8)</f>
        <v>16003.29356367304</v>
      </c>
      <c r="V9" s="156" t="s">
        <v>10</v>
      </c>
      <c r="W9" s="166">
        <f>$Q$6*0.9*X25</f>
        <v>48667.61758714656</v>
      </c>
      <c r="X9" s="166">
        <f>$Q$6*0.1*X25</f>
        <v>5407.5130652385069</v>
      </c>
      <c r="Y9" s="166">
        <f>$Q$7*0.9*Z25</f>
        <v>46671.558699693196</v>
      </c>
      <c r="Z9" s="166">
        <f>$Q$7*0.1*Z25</f>
        <v>5185.7287444103558</v>
      </c>
      <c r="AA9" s="166">
        <f>P$8*0.9*Z25</f>
        <v>290607.35437981441</v>
      </c>
      <c r="AB9" s="166">
        <f>P$8*0.1*Z25</f>
        <v>32289.7060422016</v>
      </c>
      <c r="AC9"/>
    </row>
    <row r="10" spans="1:29" ht="17.25" thickTop="1" thickBot="1" x14ac:dyDescent="0.3">
      <c r="C10" s="160" t="s">
        <v>168</v>
      </c>
      <c r="D10" s="159">
        <f>SUM(D6:D9)</f>
        <v>544520.68135636044</v>
      </c>
      <c r="E10" s="159">
        <f>SUM(E6:E9)</f>
        <v>445980.49144216569</v>
      </c>
      <c r="F10" s="159">
        <f>SUM(F6:F9)</f>
        <v>558897.53363780084</v>
      </c>
      <c r="G10" s="159">
        <f>SUM(G6:G9)</f>
        <v>1549398.706436327</v>
      </c>
      <c r="I10" s="161">
        <f>SUM(I6:I9)</f>
        <v>490068.61322072445</v>
      </c>
      <c r="J10" s="161">
        <f t="shared" ref="J10:N10" si="6">SUM(J6:J9)</f>
        <v>54452.068135636044</v>
      </c>
      <c r="K10" s="161">
        <f t="shared" si="6"/>
        <v>401382.44229794916</v>
      </c>
      <c r="L10" s="161">
        <f t="shared" si="6"/>
        <v>44598.049144216566</v>
      </c>
      <c r="M10" s="161">
        <f t="shared" si="6"/>
        <v>503007.78027402074</v>
      </c>
      <c r="N10" s="161">
        <f t="shared" si="6"/>
        <v>55889.753363780088</v>
      </c>
      <c r="O10"/>
      <c r="P10" s="165">
        <f>P9-G10</f>
        <v>16003.29356367304</v>
      </c>
      <c r="Q10"/>
      <c r="R10"/>
      <c r="S10"/>
      <c r="T10"/>
      <c r="U10" s="165">
        <f>P10-U9</f>
        <v>0</v>
      </c>
      <c r="V10"/>
      <c r="W10" s="169">
        <f t="shared" ref="W10:AB10" si="7">SUM(W6:W9)</f>
        <v>90334.800000000017</v>
      </c>
      <c r="X10" s="169">
        <f t="shared" si="7"/>
        <v>10037.200000000001</v>
      </c>
      <c r="Y10" s="169">
        <f t="shared" si="7"/>
        <v>81685.799999999988</v>
      </c>
      <c r="Z10" s="169">
        <f t="shared" si="7"/>
        <v>9076.2000000000007</v>
      </c>
      <c r="AA10" s="169">
        <f t="shared" si="7"/>
        <v>508628.7</v>
      </c>
      <c r="AB10" s="169">
        <f t="shared" si="7"/>
        <v>56514.3</v>
      </c>
      <c r="AC10"/>
    </row>
    <row r="11" spans="1:29" ht="16.5" thickTop="1" x14ac:dyDescent="0.25">
      <c r="J11" s="157">
        <f>J10+I10</f>
        <v>544520.68135636044</v>
      </c>
      <c r="L11" s="157">
        <f>L10+K10</f>
        <v>445980.49144216574</v>
      </c>
      <c r="N11" s="157">
        <f>N10+M10</f>
        <v>558897.53363780084</v>
      </c>
      <c r="O11"/>
      <c r="P11"/>
      <c r="Q11"/>
      <c r="R11"/>
      <c r="S11"/>
      <c r="T11"/>
      <c r="U11"/>
      <c r="V11"/>
      <c r="W11" s="166">
        <f>W10+X10</f>
        <v>100372.00000000001</v>
      </c>
      <c r="X11" s="166"/>
      <c r="Y11" s="166">
        <f>Y10+Z10</f>
        <v>90761.999999999985</v>
      </c>
      <c r="Z11" s="166"/>
      <c r="AA11" s="166">
        <f>AA10+AB10-T10</f>
        <v>565143</v>
      </c>
      <c r="AB11" s="166"/>
      <c r="AC11"/>
    </row>
    <row r="12" spans="1:29" x14ac:dyDescent="0.25">
      <c r="A12" s="162" t="s">
        <v>169</v>
      </c>
      <c r="I12" s="157">
        <f>I10+K10+M10</f>
        <v>1394458.8357926942</v>
      </c>
      <c r="J12" s="157">
        <f>J10+L10+N10</f>
        <v>154939.87064363269</v>
      </c>
      <c r="O12"/>
      <c r="P12"/>
      <c r="Q12"/>
      <c r="R12"/>
      <c r="S12"/>
      <c r="T12"/>
      <c r="U12"/>
      <c r="V12"/>
      <c r="W12" s="166" t="str">
        <f>R5</f>
        <v>fy23</v>
      </c>
      <c r="X12"/>
      <c r="Y12"/>
      <c r="Z12"/>
      <c r="AA12"/>
      <c r="AB12"/>
      <c r="AC12"/>
    </row>
    <row r="13" spans="1:29" ht="31.5" x14ac:dyDescent="0.25">
      <c r="A13" s="162" t="s">
        <v>170</v>
      </c>
      <c r="O13"/>
      <c r="P13"/>
      <c r="Q13"/>
      <c r="R13"/>
      <c r="S13"/>
      <c r="T13"/>
      <c r="U13"/>
      <c r="V13"/>
      <c r="W13" s="163" t="s">
        <v>172</v>
      </c>
      <c r="X13" s="163" t="s">
        <v>173</v>
      </c>
      <c r="Y13" s="163" t="s">
        <v>174</v>
      </c>
      <c r="Z13" s="163" t="s">
        <v>175</v>
      </c>
      <c r="AA13" s="163"/>
      <c r="AB13" s="163"/>
      <c r="AC13"/>
    </row>
    <row r="14" spans="1:29" x14ac:dyDescent="0.25">
      <c r="A14" s="162" t="s">
        <v>171</v>
      </c>
      <c r="O14"/>
      <c r="P14"/>
      <c r="Q14"/>
      <c r="R14"/>
      <c r="S14"/>
      <c r="T14"/>
      <c r="U14"/>
      <c r="V14" s="156" t="s">
        <v>7</v>
      </c>
      <c r="W14" s="166">
        <f>$R$6*0.9*Y22</f>
        <v>97066.44448456401</v>
      </c>
      <c r="X14" s="166">
        <f>$R$6*0.1*Y22</f>
        <v>10785.160498284891</v>
      </c>
      <c r="Y14" s="166">
        <f>R$7*0.9*Y22</f>
        <v>78030.171901654699</v>
      </c>
      <c r="Z14" s="166">
        <f>R$7*0.1*Y22</f>
        <v>8670.0191001838539</v>
      </c>
      <c r="AA14" s="166"/>
      <c r="AB14" s="166"/>
      <c r="AC14"/>
    </row>
    <row r="15" spans="1:29" x14ac:dyDescent="0.25">
      <c r="O15"/>
      <c r="P15"/>
      <c r="Q15"/>
      <c r="R15"/>
      <c r="S15"/>
      <c r="T15"/>
      <c r="U15"/>
      <c r="V15" s="156" t="s">
        <v>8</v>
      </c>
      <c r="W15" s="166">
        <f>$R$6*0.9*Y23</f>
        <v>64565.695504603718</v>
      </c>
      <c r="X15" s="166">
        <f>$R$6*0.1*Y23</f>
        <v>7173.9661671781914</v>
      </c>
      <c r="Y15" s="166">
        <f>R$7*0.9*Y23</f>
        <v>51903.336378776105</v>
      </c>
      <c r="Z15" s="166">
        <f>R$7*0.1*Y23</f>
        <v>5767.0373754195662</v>
      </c>
      <c r="AA15" s="166"/>
      <c r="AB15" s="166"/>
      <c r="AC15"/>
    </row>
    <row r="16" spans="1:29" x14ac:dyDescent="0.25">
      <c r="O16"/>
      <c r="P16"/>
      <c r="Q16"/>
      <c r="R16"/>
      <c r="S16"/>
      <c r="T16"/>
      <c r="U16"/>
      <c r="V16" s="156" t="s">
        <v>9</v>
      </c>
      <c r="W16" s="166">
        <f>$R$6*0.9*Y24</f>
        <v>68949.005524462904</v>
      </c>
      <c r="X16" s="166">
        <f>$R$6*0.1*Y24</f>
        <v>7661.0006138292119</v>
      </c>
      <c r="Y16" s="166">
        <f>R$7*0.9*Y24</f>
        <v>55427.009633360482</v>
      </c>
      <c r="Z16" s="166">
        <f>R$7*0.1*Y24</f>
        <v>6158.5566259289417</v>
      </c>
      <c r="AA16" s="166"/>
      <c r="AB16" s="166"/>
      <c r="AC16"/>
    </row>
    <row r="17" spans="15:29" x14ac:dyDescent="0.25">
      <c r="O17"/>
      <c r="P17"/>
      <c r="Q17"/>
      <c r="R17"/>
      <c r="S17"/>
      <c r="T17"/>
      <c r="U17"/>
      <c r="V17" s="156" t="s">
        <v>10</v>
      </c>
      <c r="W17" s="166">
        <f>$R$6*0.9*Y25</f>
        <v>173110.25448636941</v>
      </c>
      <c r="X17" s="166">
        <f>$R$6*0.1*Y25</f>
        <v>19234.472720707712</v>
      </c>
      <c r="Y17" s="166">
        <f>R$7*0.9*Y25</f>
        <v>139160.58208620877</v>
      </c>
      <c r="Z17" s="166">
        <f>R$7*0.1*Y25</f>
        <v>15462.286898467639</v>
      </c>
      <c r="AA17" s="166"/>
      <c r="AB17" s="166"/>
      <c r="AC17"/>
    </row>
    <row r="18" spans="15:29" ht="16.5" thickBot="1" x14ac:dyDescent="0.3">
      <c r="O18"/>
      <c r="P18"/>
      <c r="Q18"/>
      <c r="R18"/>
      <c r="S18"/>
      <c r="T18"/>
      <c r="U18"/>
      <c r="V18"/>
      <c r="W18" s="169">
        <f>SUM(W14:W17)</f>
        <v>403691.4</v>
      </c>
      <c r="X18" s="169">
        <f>SUM(X14:X17)</f>
        <v>44854.600000000006</v>
      </c>
      <c r="Y18" s="169">
        <f>SUM(Y14:Y17)</f>
        <v>324521.10000000009</v>
      </c>
      <c r="Z18" s="169">
        <f>SUM(Z14:Z17)</f>
        <v>36057.9</v>
      </c>
      <c r="AA18" s="169"/>
      <c r="AB18" s="169"/>
      <c r="AC18"/>
    </row>
    <row r="19" spans="15:29" ht="16.5" thickTop="1" x14ac:dyDescent="0.25">
      <c r="O19"/>
      <c r="P19"/>
      <c r="Q19"/>
      <c r="R19"/>
      <c r="S19"/>
      <c r="T19"/>
      <c r="U19"/>
      <c r="V19"/>
      <c r="W19" s="166">
        <f>W18+X18</f>
        <v>448546</v>
      </c>
      <c r="X19" s="166"/>
      <c r="Y19" s="166">
        <f>Y18+Z18</f>
        <v>360579.00000000012</v>
      </c>
      <c r="Z19" s="166"/>
      <c r="AA19" s="166"/>
      <c r="AB19" s="166"/>
      <c r="AC19"/>
    </row>
    <row r="20" spans="15:29" x14ac:dyDescent="0.25">
      <c r="O20"/>
      <c r="P20"/>
      <c r="Q20"/>
      <c r="R20"/>
      <c r="S20"/>
      <c r="T20"/>
      <c r="U20" t="s">
        <v>185</v>
      </c>
      <c r="V20"/>
      <c r="W20"/>
      <c r="X20"/>
      <c r="Y20"/>
      <c r="Z20"/>
      <c r="AA20"/>
      <c r="AB20"/>
      <c r="AC20"/>
    </row>
    <row r="21" spans="15:29" ht="31.5" x14ac:dyDescent="0.25">
      <c r="O21"/>
      <c r="P21"/>
      <c r="Q21"/>
      <c r="R21"/>
      <c r="S21"/>
      <c r="T21"/>
      <c r="U21" s="163"/>
      <c r="V21" s="163"/>
      <c r="W21" s="163"/>
      <c r="X21" s="163" t="s">
        <v>64</v>
      </c>
      <c r="Y21" s="163" t="s">
        <v>62</v>
      </c>
      <c r="Z21" s="163" t="s">
        <v>167</v>
      </c>
      <c r="AA21"/>
      <c r="AB21"/>
      <c r="AC21"/>
    </row>
    <row r="22" spans="15:29" x14ac:dyDescent="0.25">
      <c r="O22"/>
      <c r="P22"/>
      <c r="Q22"/>
      <c r="R22"/>
      <c r="S22"/>
      <c r="T22"/>
      <c r="U22" s="164"/>
      <c r="V22" s="156" t="s">
        <v>7</v>
      </c>
      <c r="W22" s="164"/>
      <c r="X22" s="170">
        <f t="shared" ref="X22:Z25" si="8">D6/D$10</f>
        <v>0.15499541333908914</v>
      </c>
      <c r="Y22" s="170">
        <f t="shared" si="8"/>
        <v>0.24044714473621187</v>
      </c>
      <c r="Z22" s="170">
        <f t="shared" si="8"/>
        <v>0.15182638485940328</v>
      </c>
      <c r="AA22"/>
      <c r="AB22"/>
      <c r="AC22"/>
    </row>
    <row r="23" spans="15:29" x14ac:dyDescent="0.25">
      <c r="O23"/>
      <c r="P23"/>
      <c r="Q23"/>
      <c r="R23"/>
      <c r="S23"/>
      <c r="T23"/>
      <c r="U23" s="164"/>
      <c r="V23" s="156" t="s">
        <v>8</v>
      </c>
      <c r="W23" s="164"/>
      <c r="X23" s="170">
        <f t="shared" si="8"/>
        <v>0.1534069447442262</v>
      </c>
      <c r="Y23" s="170">
        <f t="shared" si="8"/>
        <v>0.1599382486339905</v>
      </c>
      <c r="Z23" s="170">
        <f t="shared" si="8"/>
        <v>0.15672546723695227</v>
      </c>
      <c r="AA23"/>
      <c r="AB23"/>
      <c r="AC23"/>
    </row>
    <row r="24" spans="15:29" x14ac:dyDescent="0.25">
      <c r="O24"/>
      <c r="P24"/>
      <c r="Q24"/>
      <c r="R24"/>
      <c r="S24"/>
      <c r="T24"/>
      <c r="U24" s="164"/>
      <c r="V24" s="156" t="s">
        <v>9</v>
      </c>
      <c r="W24" s="164"/>
      <c r="X24" s="170">
        <f t="shared" si="8"/>
        <v>0.15285047485430606</v>
      </c>
      <c r="Y24" s="170">
        <f t="shared" si="8"/>
        <v>0.17079631997229294</v>
      </c>
      <c r="Z24" s="170">
        <f t="shared" si="8"/>
        <v>0.1200935342536196</v>
      </c>
      <c r="AA24"/>
      <c r="AB24"/>
      <c r="AC24"/>
    </row>
    <row r="25" spans="15:29" x14ac:dyDescent="0.25">
      <c r="O25"/>
      <c r="P25"/>
      <c r="Q25"/>
      <c r="R25"/>
      <c r="S25"/>
      <c r="T25"/>
      <c r="U25" s="164"/>
      <c r="V25" s="156" t="s">
        <v>10</v>
      </c>
      <c r="W25" s="164"/>
      <c r="X25" s="170">
        <f t="shared" si="8"/>
        <v>0.53874716706237857</v>
      </c>
      <c r="Y25" s="170">
        <f t="shared" si="8"/>
        <v>0.42881828665750471</v>
      </c>
      <c r="Z25" s="170">
        <f t="shared" si="8"/>
        <v>0.57135461365002482</v>
      </c>
      <c r="AA25"/>
      <c r="AB25"/>
      <c r="AC25"/>
    </row>
    <row r="26" spans="15:29" x14ac:dyDescent="0.25">
      <c r="O26"/>
      <c r="P26"/>
      <c r="Q26"/>
      <c r="R26"/>
      <c r="S26"/>
      <c r="T26"/>
      <c r="U26" s="164"/>
      <c r="V26" s="164"/>
      <c r="W26" s="171" t="s">
        <v>168</v>
      </c>
      <c r="X26" s="170">
        <f>SUM(X22:X25)</f>
        <v>1</v>
      </c>
      <c r="Y26" s="170">
        <f>SUM(Y22:Y25)</f>
        <v>1</v>
      </c>
      <c r="Z26" s="170">
        <f>SUM(Z22:Z25)</f>
        <v>1</v>
      </c>
      <c r="AA26"/>
      <c r="AB26"/>
      <c r="AC26"/>
    </row>
  </sheetData>
  <pageMargins left="0.7" right="0.7" top="0.75" bottom="0.75" header="0.3" footer="0.3"/>
  <pageSetup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DB0F5-A6BD-4A52-AB77-EA85B7F74F03}">
  <sheetPr>
    <pageSetUpPr fitToPage="1"/>
  </sheetPr>
  <dimension ref="B1:W73"/>
  <sheetViews>
    <sheetView topLeftCell="B53" zoomScale="118" zoomScaleNormal="118" workbookViewId="0">
      <selection activeCell="B66" sqref="B66"/>
    </sheetView>
  </sheetViews>
  <sheetFormatPr defaultColWidth="9.140625" defaultRowHeight="12.75" x14ac:dyDescent="0.2"/>
  <cols>
    <col min="1" max="1" width="9.140625" customWidth="1"/>
    <col min="2" max="2" width="15.7109375" customWidth="1"/>
    <col min="3" max="3" width="11.42578125" customWidth="1"/>
    <col min="4" max="4" width="11.28515625" customWidth="1"/>
    <col min="5" max="5" width="10.5703125" customWidth="1"/>
    <col min="6" max="6" width="11.140625" customWidth="1"/>
    <col min="8" max="8" width="11.28515625" customWidth="1"/>
    <col min="9" max="9" width="11" customWidth="1"/>
    <col min="10" max="10" width="9.85546875" hidden="1" customWidth="1"/>
    <col min="11" max="11" width="10.140625" hidden="1" customWidth="1"/>
    <col min="12" max="14" width="10.5703125" hidden="1" customWidth="1"/>
    <col min="15" max="15" width="11" hidden="1" customWidth="1"/>
    <col min="17" max="17" width="14.42578125" customWidth="1"/>
    <col min="18" max="18" width="11.5703125" style="101" customWidth="1"/>
    <col min="19" max="19" width="14.140625" customWidth="1"/>
    <col min="20" max="20" width="17.42578125" bestFit="1" customWidth="1"/>
    <col min="22" max="22" width="10.140625" bestFit="1" customWidth="1"/>
  </cols>
  <sheetData>
    <row r="1" spans="2:21" s="7" customFormat="1" ht="20.25" x14ac:dyDescent="0.3">
      <c r="C1" s="15" t="s">
        <v>141</v>
      </c>
      <c r="Q1" s="194">
        <f ca="1">NOW()</f>
        <v>45157.674522685185</v>
      </c>
      <c r="R1" s="194"/>
    </row>
    <row r="2" spans="2:21" s="7" customFormat="1" ht="15.75" x14ac:dyDescent="0.25">
      <c r="C2" s="7" t="s">
        <v>140</v>
      </c>
      <c r="F2" s="19"/>
      <c r="R2" s="100"/>
    </row>
    <row r="3" spans="2:21" s="7" customFormat="1" ht="15.75" x14ac:dyDescent="0.25">
      <c r="R3" s="100"/>
    </row>
    <row r="4" spans="2:21" s="7" customFormat="1" ht="15.75" x14ac:dyDescent="0.25">
      <c r="R4" s="100"/>
    </row>
    <row r="5" spans="2:21" s="7" customFormat="1" ht="15.75" x14ac:dyDescent="0.25">
      <c r="C5" s="7" t="s">
        <v>101</v>
      </c>
      <c r="H5" s="7" t="s">
        <v>103</v>
      </c>
      <c r="Q5" s="7" t="s">
        <v>102</v>
      </c>
      <c r="R5" s="100"/>
    </row>
    <row r="6" spans="2:21" ht="16.5" thickBot="1" x14ac:dyDescent="0.3">
      <c r="B6" s="7" t="s">
        <v>68</v>
      </c>
    </row>
    <row r="7" spans="2:21" ht="39" customHeight="1" thickBot="1" x14ac:dyDescent="0.3">
      <c r="B7" s="18" t="s">
        <v>3</v>
      </c>
      <c r="C7" s="43" t="s">
        <v>144</v>
      </c>
      <c r="D7" s="43" t="s">
        <v>133</v>
      </c>
      <c r="E7" s="24" t="s">
        <v>24</v>
      </c>
      <c r="F7" s="24" t="s">
        <v>23</v>
      </c>
      <c r="H7" s="43" t="s">
        <v>110</v>
      </c>
      <c r="I7" s="43" t="s">
        <v>99</v>
      </c>
      <c r="J7" s="43" t="s">
        <v>40</v>
      </c>
      <c r="K7" s="43" t="s">
        <v>38</v>
      </c>
      <c r="L7" s="43" t="s">
        <v>37</v>
      </c>
      <c r="M7" s="42" t="s">
        <v>31</v>
      </c>
      <c r="N7" s="42" t="s">
        <v>34</v>
      </c>
      <c r="O7" s="42" t="s">
        <v>35</v>
      </c>
      <c r="Q7" s="37" t="s">
        <v>142</v>
      </c>
      <c r="R7" s="102" t="s">
        <v>143</v>
      </c>
      <c r="S7" s="35" t="s">
        <v>87</v>
      </c>
    </row>
    <row r="8" spans="2:21" ht="12.75" customHeight="1" x14ac:dyDescent="0.2">
      <c r="B8" s="2" t="s">
        <v>7</v>
      </c>
      <c r="C8" s="55">
        <f>Q8+R8</f>
        <v>3876.0783064466514</v>
      </c>
      <c r="D8" s="45">
        <v>7701.4400000000005</v>
      </c>
      <c r="E8" s="8">
        <f t="shared" ref="E8:E13" si="0">C8-D8</f>
        <v>-3825.3616935533491</v>
      </c>
      <c r="F8" s="9">
        <f t="shared" ref="F8:F13" si="1">-1+(C8/D8)</f>
        <v>-0.49670732922068461</v>
      </c>
      <c r="H8" s="45">
        <v>4812.8006768596715</v>
      </c>
      <c r="I8" s="45">
        <v>3779.9924565869383</v>
      </c>
      <c r="J8" s="45">
        <v>4096.2880000000005</v>
      </c>
      <c r="K8" s="45">
        <v>2727.15</v>
      </c>
      <c r="L8" s="45">
        <v>2179.92</v>
      </c>
      <c r="M8" s="8">
        <v>1475.6759999999999</v>
      </c>
      <c r="N8" s="8">
        <v>1290.7760000000001</v>
      </c>
      <c r="O8" s="25">
        <v>1695</v>
      </c>
      <c r="Q8" s="32"/>
      <c r="R8" s="32">
        <f>('State eml 6-1-21 Anne Dennison'!H5+'State eml 6-1-21 Anne Dennison'!I5)*0.04</f>
        <v>3876.0783064466514</v>
      </c>
      <c r="S8" s="32">
        <f>Q8+R8</f>
        <v>3876.0783064466514</v>
      </c>
    </row>
    <row r="9" spans="2:21" ht="12.75" customHeight="1" x14ac:dyDescent="0.2">
      <c r="B9" s="2" t="s">
        <v>8</v>
      </c>
      <c r="C9" s="55">
        <f t="shared" ref="C9:C12" si="2">Q9+R9</f>
        <v>3927.6714949540496</v>
      </c>
      <c r="D9" s="45">
        <v>5081.96</v>
      </c>
      <c r="E9" s="8">
        <f t="shared" si="0"/>
        <v>-1154.2885050459504</v>
      </c>
      <c r="F9" s="9">
        <f t="shared" si="1"/>
        <v>-0.22713451208705904</v>
      </c>
      <c r="H9" s="45">
        <v>3820.5404867807806</v>
      </c>
      <c r="I9" s="45">
        <v>3149.895909943019</v>
      </c>
      <c r="J9" s="45">
        <v>3044.8360000000002</v>
      </c>
      <c r="K9" s="45">
        <v>2041.86</v>
      </c>
      <c r="L9" s="45">
        <v>1930.124</v>
      </c>
      <c r="M9" s="8">
        <v>1748.856</v>
      </c>
      <c r="N9" s="8">
        <v>1662.6520000000003</v>
      </c>
      <c r="O9" s="25">
        <v>1972</v>
      </c>
      <c r="Q9" s="32"/>
      <c r="R9" s="32">
        <f>('State eml 6-1-21 Anne Dennison'!H6+'State eml 6-1-21 Anne Dennison'!I6)*0.04</f>
        <v>3927.6714949540496</v>
      </c>
      <c r="S9" s="32">
        <f t="shared" ref="S9:S12" si="3">Q9+R9</f>
        <v>3927.6714949540496</v>
      </c>
    </row>
    <row r="10" spans="2:21" ht="12.75" customHeight="1" x14ac:dyDescent="0.2">
      <c r="B10" s="2" t="s">
        <v>9</v>
      </c>
      <c r="C10" s="55">
        <f t="shared" si="2"/>
        <v>3496.4104237140441</v>
      </c>
      <c r="D10" s="45">
        <v>5272.08</v>
      </c>
      <c r="E10" s="8">
        <f t="shared" si="0"/>
        <v>-1775.6695762859558</v>
      </c>
      <c r="F10" s="9">
        <f t="shared" si="1"/>
        <v>-0.33680626551303394</v>
      </c>
      <c r="H10" s="45">
        <v>3717.9789092758988</v>
      </c>
      <c r="I10" s="45">
        <v>2943.5529483525506</v>
      </c>
      <c r="J10" s="45">
        <v>2774.6560000000004</v>
      </c>
      <c r="K10" s="45">
        <v>1894.69</v>
      </c>
      <c r="L10" s="45">
        <v>1853.5120000000002</v>
      </c>
      <c r="M10" s="8">
        <v>1825.048</v>
      </c>
      <c r="N10" s="8">
        <v>1863.7840000000001</v>
      </c>
      <c r="O10" s="25">
        <v>1893</v>
      </c>
      <c r="Q10" s="32"/>
      <c r="R10" s="32">
        <f>('State eml 6-1-21 Anne Dennison'!H7+'State eml 6-1-21 Anne Dennison'!I7)*0.04</f>
        <v>3496.4104237140441</v>
      </c>
      <c r="S10" s="32">
        <f t="shared" si="3"/>
        <v>3496.4104237140441</v>
      </c>
    </row>
    <row r="11" spans="2:21" ht="12.75" customHeight="1" x14ac:dyDescent="0.2">
      <c r="B11" s="2" t="s">
        <v>10</v>
      </c>
      <c r="C11" s="55">
        <f t="shared" si="2"/>
        <v>12839.389961427434</v>
      </c>
      <c r="D11" s="45">
        <v>14640.880000000001</v>
      </c>
      <c r="E11" s="8">
        <f t="shared" si="0"/>
        <v>-1801.4900385725668</v>
      </c>
      <c r="F11" s="9">
        <f t="shared" si="1"/>
        <v>-0.12304520210346415</v>
      </c>
      <c r="H11" s="45">
        <v>11859.142707399747</v>
      </c>
      <c r="I11" s="45">
        <v>10263.132494274008</v>
      </c>
      <c r="J11" s="45">
        <v>8599.6200000000008</v>
      </c>
      <c r="K11" s="45">
        <v>5306.02</v>
      </c>
      <c r="L11" s="45">
        <v>4768.4340000000002</v>
      </c>
      <c r="M11" s="8">
        <v>4603.01</v>
      </c>
      <c r="N11" s="8">
        <v>4897.1880000000001</v>
      </c>
      <c r="O11" s="25">
        <v>5732</v>
      </c>
      <c r="Q11" s="32"/>
      <c r="R11" s="32">
        <f>('State eml 6-1-21 Anne Dennison'!H8+'State eml 6-1-21 Anne Dennison'!I8)*0.04</f>
        <v>12839.389961427434</v>
      </c>
      <c r="S11" s="32">
        <f t="shared" si="3"/>
        <v>12839.389961427434</v>
      </c>
    </row>
    <row r="12" spans="2:21" ht="12.75" customHeight="1" thickBot="1" x14ac:dyDescent="0.25">
      <c r="B12" s="2" t="s">
        <v>11</v>
      </c>
      <c r="C12" s="55">
        <f t="shared" si="2"/>
        <v>36209.325279813267</v>
      </c>
      <c r="D12" s="45">
        <v>49044.54</v>
      </c>
      <c r="E12" s="8">
        <f t="shared" si="0"/>
        <v>-12835.214720186734</v>
      </c>
      <c r="F12" s="9">
        <f t="shared" si="1"/>
        <v>-0.26170527280277756</v>
      </c>
      <c r="H12" s="45">
        <v>36315.694170474148</v>
      </c>
      <c r="I12" s="45">
        <v>30204.860713734772</v>
      </c>
      <c r="J12" s="45">
        <v>27773.599999999999</v>
      </c>
      <c r="K12" s="45">
        <v>17954.28</v>
      </c>
      <c r="L12" s="45">
        <v>16098</v>
      </c>
      <c r="M12" s="8">
        <v>14480.4</v>
      </c>
      <c r="N12" s="8">
        <v>14571.6</v>
      </c>
      <c r="O12" s="25">
        <v>16938</v>
      </c>
      <c r="Q12" s="32">
        <f>'State eml 6-1-21 Anne Dennison'!H9*0.1</f>
        <v>10563.218237284269</v>
      </c>
      <c r="R12" s="32">
        <f>(('State eml 6-1-21 Anne Dennison'!H9+'State eml 6-1-21 Anne Dennison'!I9)*0.06)-Q12</f>
        <v>25646.107042528998</v>
      </c>
      <c r="S12" s="32">
        <f t="shared" si="3"/>
        <v>36209.325279813267</v>
      </c>
      <c r="T12" s="32">
        <f>SUM(Q8:R11)</f>
        <v>24139.550186542179</v>
      </c>
      <c r="U12" t="s">
        <v>156</v>
      </c>
    </row>
    <row r="13" spans="2:21" ht="12.75" customHeight="1" thickBot="1" x14ac:dyDescent="0.25">
      <c r="C13" s="56">
        <f>SUM(C8:C12)</f>
        <v>60348.875466355443</v>
      </c>
      <c r="D13" s="11">
        <f>SUM(D8:D12)</f>
        <v>81740.900000000009</v>
      </c>
      <c r="E13" s="8">
        <f t="shared" si="0"/>
        <v>-21392.024533644566</v>
      </c>
      <c r="F13" s="9">
        <f t="shared" si="1"/>
        <v>-0.26170527280277756</v>
      </c>
      <c r="H13" s="45">
        <f>SUM(H8:H12)</f>
        <v>60526.156950790246</v>
      </c>
      <c r="I13" s="45">
        <f>SUM(I8:I12)</f>
        <v>50341.434522891286</v>
      </c>
      <c r="J13" s="45">
        <f t="shared" ref="J13:O13" si="4">SUM(J8:J12)</f>
        <v>46289</v>
      </c>
      <c r="K13" s="45">
        <f t="shared" si="4"/>
        <v>29924</v>
      </c>
      <c r="L13" s="45">
        <f t="shared" si="4"/>
        <v>26829.99</v>
      </c>
      <c r="M13" s="11">
        <f t="shared" si="4"/>
        <v>24132.989999999998</v>
      </c>
      <c r="N13" s="11">
        <f t="shared" si="4"/>
        <v>24286</v>
      </c>
      <c r="O13" s="26">
        <f t="shared" si="4"/>
        <v>28230</v>
      </c>
      <c r="Q13" s="118">
        <f t="shared" ref="Q13:R13" si="5">SUM(Q8:Q12)</f>
        <v>10563.218237284269</v>
      </c>
      <c r="R13" s="119">
        <f t="shared" si="5"/>
        <v>49785.657229071177</v>
      </c>
      <c r="S13" s="118">
        <f>SUM(S8:S12)</f>
        <v>60348.875466355443</v>
      </c>
      <c r="T13" s="95">
        <f>'[3]Allocation Sheet'!$D$14+'[3]Allocation Sheet'!$E$14</f>
        <v>60349</v>
      </c>
      <c r="U13" t="s">
        <v>157</v>
      </c>
    </row>
    <row r="14" spans="2:21" ht="12.75" customHeight="1" x14ac:dyDescent="0.2">
      <c r="C14" s="32"/>
      <c r="E14" s="13"/>
      <c r="F14" s="14"/>
      <c r="M14" s="13"/>
      <c r="N14" s="13"/>
      <c r="Q14" s="32"/>
      <c r="R14" s="107"/>
      <c r="S14" s="32"/>
    </row>
    <row r="15" spans="2:21" ht="17.25" customHeight="1" thickBot="1" x14ac:dyDescent="0.3">
      <c r="B15" s="7" t="s">
        <v>16</v>
      </c>
      <c r="C15" s="32"/>
      <c r="Q15" s="96"/>
    </row>
    <row r="16" spans="2:21" ht="12.75" hidden="1" customHeight="1" thickBot="1" x14ac:dyDescent="0.25">
      <c r="C16" s="53">
        <f>483473*0.9</f>
        <v>435125.7</v>
      </c>
    </row>
    <row r="17" spans="2:21" ht="42" customHeight="1" thickBot="1" x14ac:dyDescent="0.3">
      <c r="B17" s="18" t="s">
        <v>3</v>
      </c>
      <c r="C17" s="43" t="str">
        <f>C7</f>
        <v>PY21 &amp; FY22 Actual</v>
      </c>
      <c r="D17" s="43" t="str">
        <f>D7</f>
        <v>PY20 &amp; FY21 Actual</v>
      </c>
      <c r="E17" s="24" t="s">
        <v>24</v>
      </c>
      <c r="F17" s="24" t="s">
        <v>23</v>
      </c>
      <c r="H17" s="43" t="str">
        <f>H7</f>
        <v>PY19 &amp; FY20 Actual</v>
      </c>
      <c r="I17" s="43" t="str">
        <f>I7</f>
        <v>PY18 &amp; FY19 Actual</v>
      </c>
      <c r="J17" s="43" t="str">
        <f>J7</f>
        <v>PY17 &amp; FY18 Actual</v>
      </c>
      <c r="K17" s="43" t="s">
        <v>38</v>
      </c>
      <c r="L17" s="43" t="s">
        <v>37</v>
      </c>
      <c r="M17" s="42" t="s">
        <v>31</v>
      </c>
      <c r="N17" s="42" t="s">
        <v>34</v>
      </c>
      <c r="O17" s="42" t="s">
        <v>35</v>
      </c>
      <c r="Q17" s="37" t="str">
        <f>Q7</f>
        <v>PY21</v>
      </c>
      <c r="R17" s="102" t="str">
        <f>R7</f>
        <v>FY22</v>
      </c>
      <c r="S17" s="35" t="s">
        <v>87</v>
      </c>
    </row>
    <row r="18" spans="2:21" ht="12.75" customHeight="1" x14ac:dyDescent="0.2">
      <c r="B18" s="2" t="s">
        <v>7</v>
      </c>
      <c r="C18" s="55">
        <f t="shared" ref="C18:C21" si="6">Q18+R18</f>
        <v>87211.811895049643</v>
      </c>
      <c r="D18" s="45">
        <v>173282.40000000002</v>
      </c>
      <c r="E18" s="8">
        <f t="shared" ref="E18:E22" si="7">C18-D18</f>
        <v>-86070.588104950381</v>
      </c>
      <c r="F18" s="9">
        <f>-1+(C18/D18)</f>
        <v>-0.496707040674358</v>
      </c>
      <c r="H18" s="45">
        <v>108288.01522934259</v>
      </c>
      <c r="I18" s="45">
        <v>85049.830273206113</v>
      </c>
      <c r="J18" s="45">
        <v>92168.79</v>
      </c>
      <c r="K18" s="45">
        <v>61354.85</v>
      </c>
      <c r="L18" s="45">
        <v>49052.160000000003</v>
      </c>
      <c r="M18" s="8">
        <v>33207.19</v>
      </c>
      <c r="N18" s="8">
        <v>29032.03</v>
      </c>
      <c r="O18" s="25">
        <v>38132</v>
      </c>
      <c r="Q18" s="32">
        <f>'State eml 6-1-21 Anne Dennison'!H5*0.9+0.05</f>
        <v>15265.237074928547</v>
      </c>
      <c r="R18" s="32">
        <f>'State eml 6-1-21 Anne Dennison'!I5*0.9</f>
        <v>71946.574820121095</v>
      </c>
      <c r="S18" s="32">
        <f>Q18+R18</f>
        <v>87211.811895049643</v>
      </c>
    </row>
    <row r="19" spans="2:21" ht="12.75" customHeight="1" x14ac:dyDescent="0.2">
      <c r="B19" s="2" t="s">
        <v>8</v>
      </c>
      <c r="C19" s="55">
        <f t="shared" si="6"/>
        <v>88372.608636466117</v>
      </c>
      <c r="D19" s="45">
        <v>114344.1</v>
      </c>
      <c r="E19" s="8">
        <f t="shared" si="7"/>
        <v>-25971.491363533889</v>
      </c>
      <c r="F19" s="9">
        <f>-1+(C19/D19)</f>
        <v>-0.22713451208705904</v>
      </c>
      <c r="H19" s="45">
        <v>85962.160952567559</v>
      </c>
      <c r="I19" s="45">
        <v>70872.657973717927</v>
      </c>
      <c r="J19" s="45">
        <v>68509.820000000007</v>
      </c>
      <c r="K19" s="45">
        <v>45941.429999999993</v>
      </c>
      <c r="L19" s="45">
        <v>43418.810000000005</v>
      </c>
      <c r="M19" s="8">
        <v>39345.279999999999</v>
      </c>
      <c r="N19" s="8">
        <v>37399.170000000006</v>
      </c>
      <c r="O19" s="25">
        <v>44379</v>
      </c>
      <c r="Q19" s="32">
        <f>'State eml 6-1-21 Anne Dennison'!H6*0.9</f>
        <v>15468.376900337287</v>
      </c>
      <c r="R19" s="32">
        <f>'State eml 6-1-21 Anne Dennison'!I6*0.9</f>
        <v>72904.23173612883</v>
      </c>
      <c r="S19" s="32">
        <f t="shared" ref="S19:S21" si="8">Q19+R19</f>
        <v>88372.608636466117</v>
      </c>
    </row>
    <row r="20" spans="2:21" ht="12.75" customHeight="1" x14ac:dyDescent="0.2">
      <c r="B20" s="2" t="s">
        <v>9</v>
      </c>
      <c r="C20" s="55">
        <f t="shared" si="6"/>
        <v>78669.234533566007</v>
      </c>
      <c r="D20" s="45">
        <v>118621.8</v>
      </c>
      <c r="E20" s="8">
        <f t="shared" si="7"/>
        <v>-39952.565466433996</v>
      </c>
      <c r="F20" s="9">
        <f>-1+(C20/D20)</f>
        <v>-0.33680626551303383</v>
      </c>
      <c r="H20" s="45">
        <v>83654.525458707736</v>
      </c>
      <c r="I20" s="45">
        <v>66229.941337932396</v>
      </c>
      <c r="J20" s="45">
        <v>62430.770000000004</v>
      </c>
      <c r="K20" s="45">
        <v>42630.28</v>
      </c>
      <c r="L20" s="45">
        <v>41701.97</v>
      </c>
      <c r="M20" s="8">
        <v>41075.050000000003</v>
      </c>
      <c r="N20" s="8">
        <v>41938.61</v>
      </c>
      <c r="O20" s="25">
        <v>42591</v>
      </c>
      <c r="Q20" s="32">
        <f>'State eml 6-1-21 Anne Dennison'!H7*0.9</f>
        <v>13769.938321409836</v>
      </c>
      <c r="R20" s="32">
        <f>'State eml 6-1-21 Anne Dennison'!I7*0.9</f>
        <v>64899.296212156165</v>
      </c>
      <c r="S20" s="32">
        <f t="shared" si="8"/>
        <v>78669.234533566007</v>
      </c>
    </row>
    <row r="21" spans="2:21" ht="12.75" customHeight="1" thickBot="1" x14ac:dyDescent="0.25">
      <c r="B21" s="2" t="s">
        <v>10</v>
      </c>
      <c r="C21" s="55">
        <f t="shared" si="6"/>
        <v>288886.27413211728</v>
      </c>
      <c r="D21" s="45">
        <v>329419.3</v>
      </c>
      <c r="E21" s="8">
        <f t="shared" si="7"/>
        <v>-40533.025867882709</v>
      </c>
      <c r="F21" s="9">
        <f>-1+(C21/D21)</f>
        <v>-0.12304387104180814</v>
      </c>
      <c r="H21" s="45">
        <v>266830.71091649431</v>
      </c>
      <c r="I21" s="45">
        <v>230920.48112116518</v>
      </c>
      <c r="J21" s="45">
        <v>193496.62</v>
      </c>
      <c r="K21" s="45">
        <v>119387.44</v>
      </c>
      <c r="L21" s="45">
        <v>107288.06</v>
      </c>
      <c r="M21" s="8">
        <v>103558.48000000001</v>
      </c>
      <c r="N21" s="8">
        <v>110187.19</v>
      </c>
      <c r="O21" s="25">
        <v>128963</v>
      </c>
      <c r="Q21" s="32">
        <f>'State eml 6-1-21 Anne Dennison'!H8*0.9</f>
        <v>50565.461838882751</v>
      </c>
      <c r="R21" s="32">
        <f>'State eml 6-1-21 Anne Dennison'!I8*0.9</f>
        <v>238320.81229323451</v>
      </c>
      <c r="S21" s="32">
        <f t="shared" si="8"/>
        <v>288886.27413211728</v>
      </c>
    </row>
    <row r="22" spans="2:21" ht="12.75" customHeight="1" thickBot="1" x14ac:dyDescent="0.25">
      <c r="C22" s="56">
        <f>SUM(C18:C21)</f>
        <v>543139.92919719906</v>
      </c>
      <c r="D22" s="45">
        <f>SUM(D18:D21)</f>
        <v>735667.6</v>
      </c>
      <c r="E22" s="8">
        <f t="shared" si="7"/>
        <v>-192527.67080280092</v>
      </c>
      <c r="F22" s="9">
        <f>-1+(C22/D22)</f>
        <v>-0.26170470305175997</v>
      </c>
      <c r="H22" s="45">
        <f>SUM(H18:H21)</f>
        <v>544735.41255711229</v>
      </c>
      <c r="I22" s="45">
        <f>SUM(I18:I21)</f>
        <v>453072.91070602159</v>
      </c>
      <c r="J22" s="45">
        <f t="shared" ref="J22:O22" si="9">SUM(J18:J21)</f>
        <v>416606</v>
      </c>
      <c r="K22" s="45">
        <f t="shared" si="9"/>
        <v>269314</v>
      </c>
      <c r="L22" s="45">
        <f t="shared" si="9"/>
        <v>241461</v>
      </c>
      <c r="M22" s="11">
        <f t="shared" si="9"/>
        <v>217186</v>
      </c>
      <c r="N22" s="11">
        <f t="shared" si="9"/>
        <v>218557</v>
      </c>
      <c r="O22" s="26">
        <f t="shared" si="9"/>
        <v>254065</v>
      </c>
      <c r="Q22" s="120">
        <f>SUM(Q18:Q21)</f>
        <v>95069.01413555842</v>
      </c>
      <c r="R22" s="121">
        <f>SUM(R18:R21)</f>
        <v>448070.91506164055</v>
      </c>
      <c r="S22" s="120">
        <f>SUM(S18:S21)</f>
        <v>543139.92919719906</v>
      </c>
    </row>
    <row r="23" spans="2:21" ht="12.75" customHeight="1" x14ac:dyDescent="0.2">
      <c r="C23" s="32">
        <f>+C22+C13</f>
        <v>603488.80466355453</v>
      </c>
      <c r="D23" s="13">
        <f>'Scott 5-29-19'!G11</f>
        <v>605261.56950790249</v>
      </c>
      <c r="E23" s="13"/>
      <c r="F23" s="14"/>
      <c r="H23" s="13"/>
      <c r="I23" s="13"/>
      <c r="J23" s="13"/>
      <c r="K23" s="13"/>
      <c r="L23" s="13"/>
      <c r="M23" s="13"/>
      <c r="N23" s="13"/>
      <c r="Q23" s="32"/>
      <c r="R23" s="107"/>
      <c r="S23" s="32"/>
    </row>
    <row r="24" spans="2:21" ht="12.75" customHeight="1" x14ac:dyDescent="0.2">
      <c r="C24" s="32"/>
      <c r="L24" s="32"/>
    </row>
    <row r="25" spans="2:21" ht="18.75" customHeight="1" thickBot="1" x14ac:dyDescent="0.3">
      <c r="B25" s="7" t="s">
        <v>69</v>
      </c>
      <c r="L25" s="32"/>
    </row>
    <row r="26" spans="2:21" ht="40.5" customHeight="1" thickBot="1" x14ac:dyDescent="0.3">
      <c r="B26" s="18" t="s">
        <v>3</v>
      </c>
      <c r="C26" s="43" t="str">
        <f>C7</f>
        <v>PY21 &amp; FY22 Actual</v>
      </c>
      <c r="D26" s="43" t="str">
        <f>D7</f>
        <v>PY20 &amp; FY21 Actual</v>
      </c>
      <c r="E26" s="24" t="s">
        <v>24</v>
      </c>
      <c r="F26" s="24" t="s">
        <v>23</v>
      </c>
      <c r="H26" s="43" t="str">
        <f>H7</f>
        <v>PY19 &amp; FY20 Actual</v>
      </c>
      <c r="I26" s="43" t="str">
        <f>I7</f>
        <v>PY18 &amp; FY19 Actual</v>
      </c>
      <c r="J26" s="43" t="str">
        <f>J7</f>
        <v>PY17 &amp; FY18 Actual</v>
      </c>
      <c r="K26" s="43" t="s">
        <v>38</v>
      </c>
      <c r="L26" s="47" t="s">
        <v>37</v>
      </c>
      <c r="M26" s="42" t="s">
        <v>31</v>
      </c>
      <c r="N26" s="42" t="s">
        <v>34</v>
      </c>
      <c r="O26" s="42" t="s">
        <v>35</v>
      </c>
      <c r="Q26" s="37" t="str">
        <f>Q7</f>
        <v>PY21</v>
      </c>
      <c r="R26" s="102" t="str">
        <f>R7</f>
        <v>FY22</v>
      </c>
      <c r="S26" s="35" t="s">
        <v>87</v>
      </c>
    </row>
    <row r="27" spans="2:21" ht="12.75" customHeight="1" x14ac:dyDescent="0.2">
      <c r="B27" s="2" t="s">
        <v>7</v>
      </c>
      <c r="C27" s="55">
        <f t="shared" ref="C27:C31" si="10">Q27+R27</f>
        <v>4693.2429779624936</v>
      </c>
      <c r="D27" s="45">
        <v>9583.84</v>
      </c>
      <c r="E27" s="8">
        <f t="shared" ref="E27:E32" si="11">C27-D27</f>
        <v>-4890.5970220375066</v>
      </c>
      <c r="F27" s="9">
        <f t="shared" ref="F27:F32" si="12">-1+(C27/D27)</f>
        <v>-0.51029618837934554</v>
      </c>
      <c r="H27" s="45">
        <v>7669.385815403326</v>
      </c>
      <c r="I27" s="45">
        <v>7554.1480692834621</v>
      </c>
      <c r="J27" s="45">
        <v>8622.4279999999999</v>
      </c>
      <c r="K27" s="45">
        <v>6979.96</v>
      </c>
      <c r="L27" s="31">
        <v>6776.4679999999998</v>
      </c>
      <c r="M27" s="8">
        <v>5304.4</v>
      </c>
      <c r="N27" s="8">
        <v>4807.5999999999995</v>
      </c>
      <c r="O27" s="25">
        <v>1270</v>
      </c>
      <c r="Q27" s="32"/>
      <c r="R27" s="32">
        <f>('State eml 6-1-21 Anne Dennison'!K5+'State eml 6-1-21 Anne Dennison'!L5)*0.04</f>
        <v>4693.2429779624936</v>
      </c>
      <c r="S27" s="32">
        <f>Q27+R27</f>
        <v>4693.2429779624936</v>
      </c>
    </row>
    <row r="28" spans="2:21" ht="12.75" customHeight="1" x14ac:dyDescent="0.2">
      <c r="B28" s="2" t="s">
        <v>8</v>
      </c>
      <c r="C28" s="55">
        <f t="shared" si="10"/>
        <v>3341.6025358691568</v>
      </c>
      <c r="D28" s="45">
        <v>3880.56</v>
      </c>
      <c r="E28" s="8">
        <f t="shared" si="11"/>
        <v>-538.95746413084316</v>
      </c>
      <c r="F28" s="9">
        <f t="shared" si="12"/>
        <v>-0.13888651744357594</v>
      </c>
      <c r="H28" s="45">
        <v>3757.5165682195448</v>
      </c>
      <c r="I28" s="45">
        <v>3908.0299431410194</v>
      </c>
      <c r="J28" s="45">
        <v>3691.6480000000001</v>
      </c>
      <c r="K28" s="45">
        <v>3044.95</v>
      </c>
      <c r="L28" s="31">
        <v>2736.0960000000005</v>
      </c>
      <c r="M28" s="8">
        <v>2617.1999999999998</v>
      </c>
      <c r="N28" s="8">
        <v>1628.8</v>
      </c>
      <c r="O28" s="25">
        <v>1837</v>
      </c>
      <c r="Q28" s="32"/>
      <c r="R28" s="32">
        <f>('State eml 6-1-21 Anne Dennison'!K6+'State eml 6-1-21 Anne Dennison'!L6)*0.04</f>
        <v>3341.6025358691568</v>
      </c>
      <c r="S28" s="32">
        <f t="shared" ref="S28:S31" si="13">Q28+R28</f>
        <v>3341.6025358691568</v>
      </c>
    </row>
    <row r="29" spans="2:21" ht="12.75" customHeight="1" x14ac:dyDescent="0.2">
      <c r="B29" s="2" t="s">
        <v>9</v>
      </c>
      <c r="C29" s="55">
        <f t="shared" si="10"/>
        <v>2967.3678637566964</v>
      </c>
      <c r="D29" s="45">
        <v>4412.12</v>
      </c>
      <c r="E29" s="8">
        <f t="shared" si="11"/>
        <v>-1444.7521362433035</v>
      </c>
      <c r="F29" s="9">
        <f t="shared" si="12"/>
        <v>-0.3274507801789851</v>
      </c>
      <c r="H29" s="45">
        <v>3767.2592348762428</v>
      </c>
      <c r="I29" s="45">
        <v>3338.778648922264</v>
      </c>
      <c r="J29" s="45">
        <v>3056.2640000000001</v>
      </c>
      <c r="K29" s="45">
        <v>2332.54</v>
      </c>
      <c r="L29" s="31">
        <v>2299.6760000000004</v>
      </c>
      <c r="M29" s="8">
        <v>2155.6</v>
      </c>
      <c r="N29" s="8">
        <v>1252.4000000000001</v>
      </c>
      <c r="O29" s="25">
        <v>1452</v>
      </c>
      <c r="Q29" s="32"/>
      <c r="R29" s="32">
        <f>('State eml 6-1-21 Anne Dennison'!K7+'State eml 6-1-21 Anne Dennison'!L7)*0.04</f>
        <v>2967.3678637566964</v>
      </c>
      <c r="S29" s="32">
        <f t="shared" si="13"/>
        <v>2967.3678637566964</v>
      </c>
    </row>
    <row r="30" spans="2:21" ht="12.75" customHeight="1" x14ac:dyDescent="0.2">
      <c r="B30" s="2" t="s">
        <v>10</v>
      </c>
      <c r="C30" s="55">
        <f t="shared" si="10"/>
        <v>9232.1473693654243</v>
      </c>
      <c r="D30" s="45">
        <v>8396.2000000000007</v>
      </c>
      <c r="E30" s="8">
        <f t="shared" si="11"/>
        <v>835.94736936542358</v>
      </c>
      <c r="F30" s="9">
        <f t="shared" si="12"/>
        <v>9.9562584188731096E-2</v>
      </c>
      <c r="H30" s="45">
        <v>9035.5374379610457</v>
      </c>
      <c r="I30" s="45">
        <v>9824.8361513837026</v>
      </c>
      <c r="J30" s="45">
        <v>7702.5</v>
      </c>
      <c r="K30" s="45">
        <v>6123.6900000000005</v>
      </c>
      <c r="L30" s="31">
        <v>5968.1600000000008</v>
      </c>
      <c r="M30" s="8">
        <v>4754</v>
      </c>
      <c r="N30" s="8">
        <v>2608</v>
      </c>
      <c r="O30" s="25">
        <v>4537</v>
      </c>
      <c r="Q30" s="32"/>
      <c r="R30" s="32">
        <f>('State eml 6-1-21 Anne Dennison'!K8+'State eml 6-1-21 Anne Dennison'!L8)*0.04</f>
        <v>9232.1473693654243</v>
      </c>
      <c r="S30" s="32">
        <f t="shared" si="13"/>
        <v>9232.1473693654243</v>
      </c>
    </row>
    <row r="31" spans="2:21" ht="12.75" customHeight="1" thickBot="1" x14ac:dyDescent="0.25">
      <c r="B31" s="2" t="s">
        <v>11</v>
      </c>
      <c r="C31" s="55">
        <f t="shared" si="10"/>
        <v>30351.541120430658</v>
      </c>
      <c r="D31" s="45">
        <v>39409.079999999994</v>
      </c>
      <c r="E31" s="8">
        <f t="shared" si="11"/>
        <v>-9057.5388795693361</v>
      </c>
      <c r="F31" s="9">
        <f t="shared" si="12"/>
        <v>-0.22983380681734611</v>
      </c>
      <c r="H31" s="45">
        <v>36344.548584690237</v>
      </c>
      <c r="I31" s="45">
        <v>36938.689219095671</v>
      </c>
      <c r="J31" s="45">
        <v>34610.160000000003</v>
      </c>
      <c r="K31" s="45">
        <v>27718.86</v>
      </c>
      <c r="L31" s="31">
        <v>26670.6</v>
      </c>
      <c r="M31" s="8">
        <v>22249.8</v>
      </c>
      <c r="N31" s="8">
        <v>15445.2</v>
      </c>
      <c r="O31" s="25">
        <v>13644</v>
      </c>
      <c r="Q31" s="32">
        <f>'State eml 6-1-21 Anne Dennison'!K9*0.1</f>
        <v>9626.1699201544379</v>
      </c>
      <c r="R31" s="32">
        <f>(('State eml 6-1-21 Anne Dennison'!K9+'State eml 6-1-21 Anne Dennison'!L9)*0.06)-'7-01-2021 to 6-30-2022'!Q31</f>
        <v>20725.371200276219</v>
      </c>
      <c r="S31" s="32">
        <f t="shared" si="13"/>
        <v>30351.541120430658</v>
      </c>
      <c r="T31" s="32">
        <f>SUM(Q27:R30)</f>
        <v>20234.360746953771</v>
      </c>
      <c r="U31" t="s">
        <v>156</v>
      </c>
    </row>
    <row r="32" spans="2:21" ht="12.75" customHeight="1" thickBot="1" x14ac:dyDescent="0.25">
      <c r="C32" s="56">
        <f>SUM(C27:C31)</f>
        <v>50585.901867384426</v>
      </c>
      <c r="D32" s="45">
        <f>SUM(D27:D31)</f>
        <v>65681.799999999988</v>
      </c>
      <c r="E32" s="8">
        <f t="shared" si="11"/>
        <v>-15095.898132615563</v>
      </c>
      <c r="F32" s="9">
        <f t="shared" si="12"/>
        <v>-0.22983380681734611</v>
      </c>
      <c r="H32" s="45">
        <f>SUM(H27:H31)</f>
        <v>60574.247641150396</v>
      </c>
      <c r="I32" s="45">
        <f>SUM(I27:I31)</f>
        <v>61564.482031826119</v>
      </c>
      <c r="J32" s="45">
        <f t="shared" ref="J32:O32" si="14">SUM(J27:J31)</f>
        <v>57683</v>
      </c>
      <c r="K32" s="45">
        <f t="shared" si="14"/>
        <v>46200</v>
      </c>
      <c r="L32" s="31">
        <f t="shared" si="14"/>
        <v>44451</v>
      </c>
      <c r="M32" s="11">
        <f t="shared" si="14"/>
        <v>37081</v>
      </c>
      <c r="N32" s="11">
        <f t="shared" si="14"/>
        <v>25742</v>
      </c>
      <c r="O32" s="26">
        <f t="shared" si="14"/>
        <v>22740</v>
      </c>
      <c r="Q32" s="118">
        <f t="shared" ref="Q32:R32" si="15">SUM(Q27:Q31)</f>
        <v>9626.1699201544379</v>
      </c>
      <c r="R32" s="119">
        <f t="shared" si="15"/>
        <v>40959.731947229986</v>
      </c>
      <c r="S32" s="118">
        <f>SUM(S27:S31)</f>
        <v>50585.901867384426</v>
      </c>
      <c r="T32" s="95">
        <f>'[3]Allocation Sheet'!$D$15+'[3]Allocation Sheet'!$E$15</f>
        <v>50586</v>
      </c>
      <c r="U32" t="s">
        <v>157</v>
      </c>
    </row>
    <row r="33" spans="2:20" ht="12.75" customHeight="1" x14ac:dyDescent="0.2">
      <c r="C33" s="32"/>
      <c r="E33" s="13"/>
      <c r="F33" s="14"/>
      <c r="L33" s="32"/>
      <c r="M33" s="13"/>
      <c r="N33" s="13"/>
      <c r="Q33" s="32"/>
      <c r="R33" s="107"/>
      <c r="S33" s="32"/>
    </row>
    <row r="34" spans="2:20" ht="12.75" customHeight="1" x14ac:dyDescent="0.2">
      <c r="C34" s="32"/>
      <c r="E34" s="13"/>
      <c r="F34" s="14"/>
      <c r="L34" s="32"/>
      <c r="M34" s="13"/>
      <c r="N34" s="13"/>
      <c r="Q34" s="96"/>
    </row>
    <row r="35" spans="2:20" ht="18" customHeight="1" thickBot="1" x14ac:dyDescent="0.3">
      <c r="B35" s="7" t="s">
        <v>18</v>
      </c>
      <c r="L35" s="32"/>
    </row>
    <row r="36" spans="2:20" ht="40.5" customHeight="1" thickBot="1" x14ac:dyDescent="0.3">
      <c r="B36" s="18" t="s">
        <v>3</v>
      </c>
      <c r="C36" s="43" t="str">
        <f>C7</f>
        <v>PY21 &amp; FY22 Actual</v>
      </c>
      <c r="D36" s="43" t="str">
        <f>D7</f>
        <v>PY20 &amp; FY21 Actual</v>
      </c>
      <c r="E36" s="24" t="s">
        <v>24</v>
      </c>
      <c r="F36" s="24" t="s">
        <v>23</v>
      </c>
      <c r="H36" s="43" t="str">
        <f>H7</f>
        <v>PY19 &amp; FY20 Actual</v>
      </c>
      <c r="I36" s="43" t="str">
        <f>I7</f>
        <v>PY18 &amp; FY19 Actual</v>
      </c>
      <c r="J36" s="43" t="str">
        <f>J7</f>
        <v>PY17 &amp; FY18 Actual</v>
      </c>
      <c r="K36" s="43" t="s">
        <v>38</v>
      </c>
      <c r="L36" s="47" t="s">
        <v>37</v>
      </c>
      <c r="M36" s="42" t="s">
        <v>31</v>
      </c>
      <c r="N36" s="42" t="s">
        <v>34</v>
      </c>
      <c r="O36" s="42" t="s">
        <v>35</v>
      </c>
      <c r="Q36" s="37" t="str">
        <f>Q26</f>
        <v>PY21</v>
      </c>
      <c r="R36" s="102" t="str">
        <f>R26</f>
        <v>FY22</v>
      </c>
      <c r="S36" s="35" t="s">
        <v>87</v>
      </c>
    </row>
    <row r="37" spans="2:20" ht="12.75" customHeight="1" x14ac:dyDescent="0.2">
      <c r="B37" s="2" t="s">
        <v>7</v>
      </c>
      <c r="C37" s="55">
        <f t="shared" ref="C37:C40" si="16">Q37+R37</f>
        <v>105598.96700415612</v>
      </c>
      <c r="D37" s="45">
        <v>215636.40000000002</v>
      </c>
      <c r="E37" s="8">
        <f>C37-D37</f>
        <v>-110037.4329958439</v>
      </c>
      <c r="F37" s="9">
        <f>-1+(C37/D37)</f>
        <v>-0.5102915509433652</v>
      </c>
      <c r="H37" s="45">
        <v>172561.18084657483</v>
      </c>
      <c r="I37" s="45">
        <v>169968.33155887789</v>
      </c>
      <c r="J37" s="45">
        <v>194000.71000000002</v>
      </c>
      <c r="K37" s="45">
        <v>157036.51</v>
      </c>
      <c r="L37" s="31">
        <v>152464.54999999999</v>
      </c>
      <c r="M37" s="8">
        <v>119359</v>
      </c>
      <c r="N37" s="8">
        <v>108168</v>
      </c>
      <c r="O37" s="25">
        <v>28583</v>
      </c>
      <c r="Q37" s="32">
        <f>'State eml 6-1-21 Anne Dennison'!K5*0.9+1</f>
        <v>20095.610080684666</v>
      </c>
      <c r="R37" s="32">
        <f>'State eml 6-1-21 Anne Dennison'!L5*0.9</f>
        <v>85503.356923471452</v>
      </c>
      <c r="S37" s="32">
        <f>Q37+R37</f>
        <v>105598.96700415612</v>
      </c>
    </row>
    <row r="38" spans="2:20" ht="12.75" customHeight="1" x14ac:dyDescent="0.2">
      <c r="B38" s="2" t="s">
        <v>8</v>
      </c>
      <c r="C38" s="55">
        <f t="shared" si="16"/>
        <v>75186.057057056038</v>
      </c>
      <c r="D38" s="45">
        <v>87312.599999999991</v>
      </c>
      <c r="E38" s="8">
        <f>C38-D38</f>
        <v>-12126.542942943954</v>
      </c>
      <c r="F38" s="9">
        <f>-1+(C38/D38)</f>
        <v>-0.13888651744357583</v>
      </c>
      <c r="H38" s="45">
        <v>84544.122784939755</v>
      </c>
      <c r="I38" s="45">
        <v>87930.67372067293</v>
      </c>
      <c r="J38" s="45">
        <v>83063.359999999986</v>
      </c>
      <c r="K38" s="45">
        <v>68508.66</v>
      </c>
      <c r="L38" s="31">
        <v>61567.9</v>
      </c>
      <c r="M38" s="8">
        <v>58892</v>
      </c>
      <c r="N38" s="8">
        <v>36638</v>
      </c>
      <c r="O38" s="25">
        <v>41330</v>
      </c>
      <c r="Q38" s="32">
        <f>'State eml 6-1-21 Anne Dennison'!K6*0.9</f>
        <v>14307.420331360992</v>
      </c>
      <c r="R38" s="32">
        <f>'State eml 6-1-21 Anne Dennison'!L6*0.9</f>
        <v>60878.63672569504</v>
      </c>
      <c r="S38" s="32">
        <f t="shared" ref="S38:S40" si="17">Q38+R38</f>
        <v>75186.057057056038</v>
      </c>
    </row>
    <row r="39" spans="2:20" ht="12.75" customHeight="1" x14ac:dyDescent="0.2">
      <c r="B39" s="2" t="s">
        <v>9</v>
      </c>
      <c r="C39" s="55">
        <f t="shared" si="16"/>
        <v>66765.776934525667</v>
      </c>
      <c r="D39" s="45">
        <v>99272.700000000012</v>
      </c>
      <c r="E39" s="8">
        <f>C39-D39</f>
        <v>-32506.923065474344</v>
      </c>
      <c r="F39" s="9">
        <f>-1+(C39/D39)</f>
        <v>-0.32745078017898521</v>
      </c>
      <c r="H39" s="45">
        <v>84763.332784715458</v>
      </c>
      <c r="I39" s="45">
        <v>75122.519600750951</v>
      </c>
      <c r="J39" s="45">
        <v>68763.22</v>
      </c>
      <c r="K39" s="45">
        <v>52464.71</v>
      </c>
      <c r="L39" s="31">
        <v>51740.75</v>
      </c>
      <c r="M39" s="8">
        <v>48509</v>
      </c>
      <c r="N39" s="8">
        <v>28172</v>
      </c>
      <c r="O39" s="25">
        <v>32670</v>
      </c>
      <c r="Q39" s="32">
        <f>'State eml 6-1-21 Anne Dennison'!K7*0.9</f>
        <v>12705.095489011255</v>
      </c>
      <c r="R39" s="32">
        <f>'State eml 6-1-21 Anne Dennison'!L7*0.9</f>
        <v>54060.681445514412</v>
      </c>
      <c r="S39" s="32">
        <f t="shared" si="17"/>
        <v>66765.776934525667</v>
      </c>
    </row>
    <row r="40" spans="2:20" ht="12.75" customHeight="1" thickBot="1" x14ac:dyDescent="0.25">
      <c r="B40" s="2" t="s">
        <v>10</v>
      </c>
      <c r="C40" s="55">
        <f t="shared" si="16"/>
        <v>207722.31581072207</v>
      </c>
      <c r="D40" s="45">
        <v>188914</v>
      </c>
      <c r="E40" s="46">
        <f>C40-D40</f>
        <v>18808.315810722066</v>
      </c>
      <c r="F40" s="9">
        <f>-1+(C40/D40)</f>
        <v>9.9560200994749382E-2</v>
      </c>
      <c r="H40" s="45">
        <v>203299.59235412348</v>
      </c>
      <c r="I40" s="45">
        <v>221058.8134061333</v>
      </c>
      <c r="J40" s="45">
        <v>173301.71</v>
      </c>
      <c r="K40" s="45">
        <v>137771.12</v>
      </c>
      <c r="L40" s="50">
        <v>134289.79999999999</v>
      </c>
      <c r="M40" s="8">
        <v>106973</v>
      </c>
      <c r="N40" s="8">
        <v>58678</v>
      </c>
      <c r="O40" s="25">
        <v>102070</v>
      </c>
      <c r="Q40" s="32">
        <f>'State eml 6-1-21 Anne Dennison'!K8*0.9</f>
        <v>39528.403380333024</v>
      </c>
      <c r="R40" s="32">
        <f>'State eml 6-1-21 Anne Dennison'!L8*0.9-1</f>
        <v>168193.91243038906</v>
      </c>
      <c r="S40" s="32">
        <f t="shared" si="17"/>
        <v>207722.31581072207</v>
      </c>
    </row>
    <row r="41" spans="2:20" ht="12.75" customHeight="1" thickBot="1" x14ac:dyDescent="0.25">
      <c r="C41" s="56">
        <f>SUM(C37:C40)</f>
        <v>455273.11680645985</v>
      </c>
      <c r="D41" s="45">
        <f>SUM(D37:D40)</f>
        <v>591135.69999999995</v>
      </c>
      <c r="E41" s="45">
        <f t="shared" ref="E41" si="18">SUM(E37:E40)</f>
        <v>-135862.58319354014</v>
      </c>
      <c r="F41" s="39">
        <f>-1+(C41/D41)</f>
        <v>-0.2298331553880778</v>
      </c>
      <c r="H41" s="45">
        <f>SUM(H37:H40)</f>
        <v>545168.2287703536</v>
      </c>
      <c r="I41" s="45">
        <f>SUM(I37:I40)</f>
        <v>554080.33828643512</v>
      </c>
      <c r="J41" s="45">
        <f>SUM(J37:J40)</f>
        <v>519129</v>
      </c>
      <c r="K41" s="45">
        <f>SUM(K37:K40)</f>
        <v>415781</v>
      </c>
      <c r="L41" s="31">
        <f t="shared" ref="L41" si="19">SUM(L37:L40)</f>
        <v>400062.99999999994</v>
      </c>
      <c r="M41" s="11">
        <f>SUM(M37:M40)</f>
        <v>333733</v>
      </c>
      <c r="N41" s="11">
        <f>SUM(N37:N40)</f>
        <v>231656</v>
      </c>
      <c r="O41" s="26">
        <f>SUM(O37:O40)</f>
        <v>204653</v>
      </c>
      <c r="Q41" s="120">
        <f>SUM(Q37:Q40)-1</f>
        <v>86635.529281389929</v>
      </c>
      <c r="R41" s="121">
        <f>SUM(R37:R40)</f>
        <v>368636.58752506995</v>
      </c>
      <c r="S41" s="120">
        <f>SUM(S37:S40)</f>
        <v>455273.11680645985</v>
      </c>
    </row>
    <row r="42" spans="2:20" ht="12.75" customHeight="1" x14ac:dyDescent="0.2">
      <c r="C42" s="32">
        <f>C41+C32</f>
        <v>505859.01867384429</v>
      </c>
      <c r="D42" s="13">
        <f>'Scott 5-29-19'!L11</f>
        <v>605742.47641150397</v>
      </c>
      <c r="E42" s="13"/>
      <c r="F42" s="14"/>
      <c r="H42" s="13"/>
      <c r="I42" s="13"/>
      <c r="J42" s="13"/>
      <c r="K42" s="13"/>
      <c r="L42" s="32"/>
      <c r="M42" s="13"/>
      <c r="N42" s="13"/>
      <c r="Q42" s="32"/>
      <c r="R42" s="107"/>
      <c r="S42" s="32"/>
    </row>
    <row r="43" spans="2:20" ht="12.75" customHeight="1" x14ac:dyDescent="0.2">
      <c r="C43" s="32"/>
      <c r="L43" s="32"/>
    </row>
    <row r="44" spans="2:20" ht="12.75" hidden="1" customHeight="1" x14ac:dyDescent="0.2">
      <c r="C44" s="32"/>
      <c r="L44" s="32"/>
    </row>
    <row r="45" spans="2:20" ht="12.75" hidden="1" customHeight="1" x14ac:dyDescent="0.2">
      <c r="C45" s="32"/>
      <c r="L45" s="32"/>
    </row>
    <row r="46" spans="2:20" ht="17.25" customHeight="1" x14ac:dyDescent="0.25">
      <c r="B46" s="7" t="s">
        <v>70</v>
      </c>
      <c r="C46" s="32"/>
      <c r="L46" s="32"/>
    </row>
    <row r="47" spans="2:20" ht="12.75" customHeight="1" x14ac:dyDescent="0.2">
      <c r="B47" s="18" t="s">
        <v>3</v>
      </c>
      <c r="C47" s="51" t="s">
        <v>145</v>
      </c>
      <c r="D47" s="51" t="s">
        <v>134</v>
      </c>
      <c r="E47" s="24" t="s">
        <v>24</v>
      </c>
      <c r="F47" s="24" t="s">
        <v>23</v>
      </c>
      <c r="H47" s="51" t="s">
        <v>111</v>
      </c>
      <c r="I47" s="51" t="s">
        <v>135</v>
      </c>
      <c r="J47" s="51" t="s">
        <v>43</v>
      </c>
      <c r="K47" s="51" t="s">
        <v>36</v>
      </c>
      <c r="L47" s="51" t="s">
        <v>136</v>
      </c>
      <c r="M47" s="36" t="s">
        <v>137</v>
      </c>
      <c r="N47" s="36" t="s">
        <v>138</v>
      </c>
      <c r="O47" s="33" t="s">
        <v>21</v>
      </c>
      <c r="R47" s="107"/>
    </row>
    <row r="48" spans="2:20" ht="12.75" customHeight="1" x14ac:dyDescent="0.2">
      <c r="B48" s="2" t="s">
        <v>7</v>
      </c>
      <c r="C48" s="30">
        <f>'State eml 6-1-21 Anne Dennison'!E5*0.04</f>
        <v>3910.4184725694954</v>
      </c>
      <c r="D48" s="30">
        <v>7997.72</v>
      </c>
      <c r="E48" s="8">
        <f t="shared" ref="E48:E53" si="20">C48-D48</f>
        <v>-4087.3015274305048</v>
      </c>
      <c r="F48" s="9">
        <f t="shared" ref="F48:F53" si="21">-1+(C48/D48)</f>
        <v>-0.51105834255644167</v>
      </c>
      <c r="H48" s="30">
        <v>4921.2379251626808</v>
      </c>
      <c r="I48" s="30">
        <v>3853.2622609954697</v>
      </c>
      <c r="J48" s="30">
        <v>4253.3999999999996</v>
      </c>
      <c r="K48" s="30">
        <v>2799.01</v>
      </c>
      <c r="L48" s="30">
        <v>2190.2959999999998</v>
      </c>
      <c r="M48" s="8">
        <v>1442.6440000000002</v>
      </c>
      <c r="N48" s="8">
        <v>1293.8320000000001</v>
      </c>
      <c r="O48" s="29">
        <v>2036</v>
      </c>
      <c r="R48" s="107"/>
      <c r="T48" s="96"/>
    </row>
    <row r="49" spans="2:23" ht="12.75" customHeight="1" x14ac:dyDescent="0.2">
      <c r="B49" s="2" t="s">
        <v>8</v>
      </c>
      <c r="C49" s="30">
        <f>'State eml 6-1-21 Anne Dennison'!E6*0.04</f>
        <v>4114.3777660585465</v>
      </c>
      <c r="D49" s="30">
        <v>5278.68</v>
      </c>
      <c r="E49" s="8">
        <f t="shared" si="20"/>
        <v>-1164.3022339414538</v>
      </c>
      <c r="F49" s="9">
        <f t="shared" si="21"/>
        <v>-0.22056692846345183</v>
      </c>
      <c r="H49" s="30">
        <v>3940.7546689156206</v>
      </c>
      <c r="I49" s="30">
        <v>3248.1932610225649</v>
      </c>
      <c r="J49" s="30">
        <v>3147.7200000000003</v>
      </c>
      <c r="K49" s="30">
        <v>2080.59</v>
      </c>
      <c r="L49" s="30">
        <v>1943.5160000000001</v>
      </c>
      <c r="M49" s="8">
        <v>1759.3200000000002</v>
      </c>
      <c r="N49" s="8">
        <v>1737.36</v>
      </c>
      <c r="O49" s="30">
        <v>2688</v>
      </c>
      <c r="R49" s="107"/>
      <c r="T49" s="96"/>
    </row>
    <row r="50" spans="2:23" ht="12.75" customHeight="1" x14ac:dyDescent="0.2">
      <c r="B50" s="2" t="s">
        <v>9</v>
      </c>
      <c r="C50" s="30">
        <f>'State eml 6-1-21 Anne Dennison'!E7*0.04</f>
        <v>2840.1259390385612</v>
      </c>
      <c r="D50" s="30">
        <v>5019.5600000000004</v>
      </c>
      <c r="E50" s="8">
        <f t="shared" si="20"/>
        <v>-2179.4340609614392</v>
      </c>
      <c r="F50" s="9">
        <f t="shared" si="21"/>
        <v>-0.43418826768908814</v>
      </c>
      <c r="H50" s="30">
        <v>3371.3087341660712</v>
      </c>
      <c r="I50" s="30">
        <v>2636.2756834755978</v>
      </c>
      <c r="J50" s="30">
        <v>2567.08</v>
      </c>
      <c r="K50" s="30">
        <v>1596.86</v>
      </c>
      <c r="L50" s="30">
        <v>1481.4960000000001</v>
      </c>
      <c r="M50" s="8">
        <v>1488.2280000000001</v>
      </c>
      <c r="N50" s="8">
        <v>1584.924</v>
      </c>
      <c r="O50" s="30">
        <v>1915</v>
      </c>
      <c r="R50" s="107"/>
      <c r="T50" s="96"/>
      <c r="V50" s="95">
        <f>T52+T31+T12</f>
        <v>69082.010194212067</v>
      </c>
      <c r="W50" t="s">
        <v>158</v>
      </c>
    </row>
    <row r="51" spans="2:23" ht="12.75" customHeight="1" x14ac:dyDescent="0.2">
      <c r="B51" s="2" t="s">
        <v>10</v>
      </c>
      <c r="C51" s="30">
        <f>'State eml 6-1-21 Anne Dennison'!E8*0.04</f>
        <v>13843.177083049515</v>
      </c>
      <c r="D51" s="30">
        <v>15374.48</v>
      </c>
      <c r="E51" s="8">
        <f t="shared" si="20"/>
        <v>-1531.3029169504844</v>
      </c>
      <c r="F51" s="9">
        <f t="shared" si="21"/>
        <v>-9.9600306283561091E-2</v>
      </c>
      <c r="H51" s="30">
        <v>12433.9576300176</v>
      </c>
      <c r="I51" s="30">
        <v>10775.808739940587</v>
      </c>
      <c r="J51" s="30">
        <v>8923.56</v>
      </c>
      <c r="K51" s="30">
        <v>5418.14</v>
      </c>
      <c r="L51" s="30">
        <v>4796.2920000000004</v>
      </c>
      <c r="M51" s="8">
        <v>4646.2080000000005</v>
      </c>
      <c r="N51" s="8">
        <v>5179.0839999999998</v>
      </c>
      <c r="O51" s="30">
        <v>5158</v>
      </c>
      <c r="T51" s="96"/>
    </row>
    <row r="52" spans="2:23" ht="12.75" customHeight="1" thickBot="1" x14ac:dyDescent="0.25">
      <c r="B52" s="2" t="s">
        <v>11</v>
      </c>
      <c r="C52" s="30">
        <f>'State eml 6-1-21 Anne Dennison'!E9*0.06</f>
        <v>37062.148891074175</v>
      </c>
      <c r="D52" s="30">
        <v>50505.659999999996</v>
      </c>
      <c r="E52" s="8">
        <f t="shared" si="20"/>
        <v>-13443.511108925821</v>
      </c>
      <c r="F52" s="9">
        <f t="shared" si="21"/>
        <v>-0.26617830771691375</v>
      </c>
      <c r="H52" s="52">
        <v>37000.888437392954</v>
      </c>
      <c r="I52" s="52">
        <v>30770.309918151328</v>
      </c>
      <c r="J52" s="52">
        <v>28337.239999999998</v>
      </c>
      <c r="K52" s="30">
        <v>17843.399999999998</v>
      </c>
      <c r="L52" s="52">
        <v>15617.4</v>
      </c>
      <c r="M52" s="8">
        <v>14004.6</v>
      </c>
      <c r="N52" s="8">
        <v>14692.8</v>
      </c>
      <c r="O52" s="30">
        <v>17696</v>
      </c>
      <c r="T52" s="96">
        <f>SUM(C48:C51)</f>
        <v>24708.099260716117</v>
      </c>
      <c r="U52" t="s">
        <v>156</v>
      </c>
    </row>
    <row r="53" spans="2:23" ht="12.75" customHeight="1" thickBot="1" x14ac:dyDescent="0.25">
      <c r="C53" s="56">
        <f>SUM(C48:C52)</f>
        <v>61770.248151790292</v>
      </c>
      <c r="D53" s="11">
        <f>SUM(D48:D52)</f>
        <v>84176.1</v>
      </c>
      <c r="E53" s="11">
        <f t="shared" si="20"/>
        <v>-22405.851848209713</v>
      </c>
      <c r="F53" s="9">
        <f t="shared" si="21"/>
        <v>-0.26617830771691386</v>
      </c>
      <c r="H53" s="45">
        <f>SUM(H48:H52)</f>
        <v>61668.147395654923</v>
      </c>
      <c r="I53" s="45">
        <f t="shared" ref="I53:N53" si="22">SUM(I48:I52)</f>
        <v>51283.84986358555</v>
      </c>
      <c r="J53" s="31">
        <f t="shared" si="22"/>
        <v>47229</v>
      </c>
      <c r="K53" s="11">
        <f t="shared" si="22"/>
        <v>29738</v>
      </c>
      <c r="L53" s="31">
        <f t="shared" si="22"/>
        <v>26029</v>
      </c>
      <c r="M53" s="11">
        <f t="shared" si="22"/>
        <v>23341</v>
      </c>
      <c r="N53" s="11">
        <f t="shared" si="22"/>
        <v>24488</v>
      </c>
      <c r="O53" s="31">
        <v>29493</v>
      </c>
      <c r="T53" s="96">
        <f>'[3]Allocation Sheet'!$D$16</f>
        <v>61770</v>
      </c>
      <c r="U53" t="s">
        <v>157</v>
      </c>
    </row>
    <row r="54" spans="2:23" ht="12.75" customHeight="1" x14ac:dyDescent="0.2">
      <c r="C54" s="32"/>
      <c r="D54" s="32"/>
      <c r="H54" s="32"/>
      <c r="I54" s="32"/>
      <c r="J54" s="32"/>
      <c r="K54" s="32"/>
      <c r="L54" s="32"/>
      <c r="O54" s="32"/>
      <c r="T54" s="95">
        <f>T53-T52</f>
        <v>37061.900739283883</v>
      </c>
    </row>
    <row r="55" spans="2:23" ht="12.75" customHeight="1" x14ac:dyDescent="0.2">
      <c r="C55" s="32"/>
      <c r="D55" s="32"/>
      <c r="H55" s="32"/>
      <c r="I55" s="32"/>
      <c r="J55" s="32"/>
      <c r="K55" s="32"/>
      <c r="L55" s="32"/>
      <c r="O55" s="32"/>
    </row>
    <row r="56" spans="2:23" ht="12.75" customHeight="1" x14ac:dyDescent="0.25">
      <c r="B56" s="7" t="s">
        <v>71</v>
      </c>
      <c r="C56" s="32"/>
      <c r="D56" s="32"/>
      <c r="H56" s="32"/>
      <c r="I56" s="32"/>
      <c r="J56" s="32"/>
      <c r="K56" s="32"/>
      <c r="L56" s="32"/>
      <c r="O56" s="32"/>
    </row>
    <row r="57" spans="2:23" ht="12.75" customHeight="1" x14ac:dyDescent="0.2">
      <c r="B57" s="18" t="s">
        <v>3</v>
      </c>
      <c r="C57" s="51" t="str">
        <f>C47</f>
        <v>PY 21</v>
      </c>
      <c r="D57" s="51" t="str">
        <f>D47</f>
        <v>PY 20</v>
      </c>
      <c r="E57" s="24" t="s">
        <v>24</v>
      </c>
      <c r="F57" s="24" t="s">
        <v>23</v>
      </c>
      <c r="H57" s="51" t="str">
        <f>H47</f>
        <v xml:space="preserve">PY19 </v>
      </c>
      <c r="I57" s="51" t="str">
        <f t="shared" ref="I57:N57" si="23">I47</f>
        <v xml:space="preserve">PY18 </v>
      </c>
      <c r="J57" s="51" t="str">
        <f t="shared" si="23"/>
        <v>PY17 Final</v>
      </c>
      <c r="K57" s="51" t="str">
        <f t="shared" si="23"/>
        <v>PY16 Final</v>
      </c>
      <c r="L57" s="51" t="str">
        <f t="shared" si="23"/>
        <v xml:space="preserve">PY15 </v>
      </c>
      <c r="M57" s="28" t="str">
        <f t="shared" si="23"/>
        <v>PY14</v>
      </c>
      <c r="N57" s="36" t="str">
        <f t="shared" si="23"/>
        <v>PY13</v>
      </c>
      <c r="O57" s="33" t="s">
        <v>21</v>
      </c>
    </row>
    <row r="58" spans="2:23" ht="12.75" customHeight="1" x14ac:dyDescent="0.2">
      <c r="B58" s="2" t="s">
        <v>7</v>
      </c>
      <c r="C58" s="30">
        <f>'State eml 6-1-21 Anne Dennison'!E5*0.9</f>
        <v>87984.415632813645</v>
      </c>
      <c r="D58" s="30">
        <v>179948.7</v>
      </c>
      <c r="E58" s="8">
        <f>C58-D58</f>
        <v>-91964.284367186367</v>
      </c>
      <c r="F58" s="9">
        <f>-1+(C58/D58)</f>
        <v>-0.51105834255644167</v>
      </c>
      <c r="H58" s="30">
        <v>110727.85331616033</v>
      </c>
      <c r="I58" s="30">
        <v>86698.400872398066</v>
      </c>
      <c r="J58" s="30">
        <v>95701.39</v>
      </c>
      <c r="K58" s="30">
        <v>62977.34</v>
      </c>
      <c r="L58" s="30">
        <v>49275.12</v>
      </c>
      <c r="M58" s="8">
        <v>32458.95</v>
      </c>
      <c r="N58" s="8">
        <v>29111.09</v>
      </c>
      <c r="O58" s="29">
        <v>45806</v>
      </c>
    </row>
    <row r="59" spans="2:23" ht="12.75" customHeight="1" x14ac:dyDescent="0.2">
      <c r="B59" s="2" t="s">
        <v>8</v>
      </c>
      <c r="C59" s="30">
        <f>'State eml 6-1-21 Anne Dennison'!E6*0.9</f>
        <v>92573.499736317288</v>
      </c>
      <c r="D59" s="30">
        <v>118770.3</v>
      </c>
      <c r="E59" s="8">
        <f>C59-D59</f>
        <v>-26196.800263682715</v>
      </c>
      <c r="F59" s="9">
        <f>-1+(C59/D59)</f>
        <v>-0.22056692846345183</v>
      </c>
      <c r="H59" s="30">
        <v>88666.980050601458</v>
      </c>
      <c r="I59" s="30">
        <v>73084.348373007713</v>
      </c>
      <c r="J59" s="30">
        <v>70823.56</v>
      </c>
      <c r="K59" s="30">
        <v>46824.45</v>
      </c>
      <c r="L59" s="30">
        <v>43728.45</v>
      </c>
      <c r="M59" s="8">
        <v>39584.300000000003</v>
      </c>
      <c r="N59" s="8">
        <v>39091.47</v>
      </c>
      <c r="O59" s="30">
        <v>60495</v>
      </c>
    </row>
    <row r="60" spans="2:23" ht="12.75" customHeight="1" x14ac:dyDescent="0.2">
      <c r="B60" s="2" t="s">
        <v>9</v>
      </c>
      <c r="C60" s="30">
        <f>'State eml 6-1-21 Anne Dennison'!E7*0.9+1</f>
        <v>63903.833628367625</v>
      </c>
      <c r="D60" s="30">
        <v>112940.1</v>
      </c>
      <c r="E60" s="8">
        <f>C60-D60</f>
        <v>-49036.26637163238</v>
      </c>
      <c r="F60" s="9">
        <f>-1+(C60/D60)</f>
        <v>-0.43417941343802935</v>
      </c>
      <c r="H60" s="30">
        <v>75854.4465187366</v>
      </c>
      <c r="I60" s="30">
        <v>59316.202878200951</v>
      </c>
      <c r="J60" s="30">
        <v>57759.56</v>
      </c>
      <c r="K60" s="30">
        <v>35937.519999999997</v>
      </c>
      <c r="L60" s="30">
        <v>33333.94</v>
      </c>
      <c r="M60" s="8">
        <v>33483.57</v>
      </c>
      <c r="N60" s="8">
        <v>35659.57</v>
      </c>
      <c r="O60" s="30">
        <v>43091</v>
      </c>
    </row>
    <row r="61" spans="2:23" ht="13.5" thickBot="1" x14ac:dyDescent="0.25">
      <c r="B61" s="2" t="s">
        <v>10</v>
      </c>
      <c r="C61" s="30">
        <f>'State eml 6-1-21 Anne Dennison'!E8*0.9</f>
        <v>311471.4843686141</v>
      </c>
      <c r="D61" s="52">
        <v>345925.8</v>
      </c>
      <c r="E61" s="8">
        <f>C61-D61</f>
        <v>-34454.315631385893</v>
      </c>
      <c r="F61" s="9">
        <f>-1+(C61/D61)</f>
        <v>-9.9600306283561091E-2</v>
      </c>
      <c r="H61" s="52">
        <v>279764.04667539604</v>
      </c>
      <c r="I61" s="52">
        <v>242455.6966486632</v>
      </c>
      <c r="J61" s="52">
        <v>200779.49</v>
      </c>
      <c r="K61" s="52">
        <v>121913.69</v>
      </c>
      <c r="L61" s="52">
        <v>107921.49</v>
      </c>
      <c r="M61" s="8">
        <v>104539.18</v>
      </c>
      <c r="N61" s="8">
        <v>116527.87</v>
      </c>
      <c r="O61" s="30">
        <v>116044</v>
      </c>
    </row>
    <row r="62" spans="2:23" ht="13.5" thickBot="1" x14ac:dyDescent="0.25">
      <c r="C62" s="57">
        <f>SUM(C58:C61)-1</f>
        <v>555932.23336611269</v>
      </c>
      <c r="D62" s="31">
        <f>SUM(D58:D61)</f>
        <v>757584.89999999991</v>
      </c>
      <c r="E62" s="11">
        <f>C62-D62</f>
        <v>-201652.66663388722</v>
      </c>
      <c r="F62" s="9">
        <f>-1+(C62/D62)</f>
        <v>-0.26617830771691364</v>
      </c>
      <c r="H62" s="31">
        <f>SUM(H58:H61)</f>
        <v>555013.32656089449</v>
      </c>
      <c r="I62" s="31">
        <f t="shared" ref="I62:N62" si="24">SUM(I58:I61)</f>
        <v>461554.64877226995</v>
      </c>
      <c r="J62" s="31">
        <f t="shared" si="24"/>
        <v>425064</v>
      </c>
      <c r="K62" s="31">
        <f t="shared" si="24"/>
        <v>267653</v>
      </c>
      <c r="L62" s="31">
        <f t="shared" si="24"/>
        <v>234259</v>
      </c>
      <c r="M62" s="11">
        <f t="shared" si="24"/>
        <v>210066</v>
      </c>
      <c r="N62" s="11">
        <f t="shared" si="24"/>
        <v>220390</v>
      </c>
      <c r="O62" s="30">
        <v>265436</v>
      </c>
    </row>
    <row r="63" spans="2:23" x14ac:dyDescent="0.2">
      <c r="C63" s="32"/>
      <c r="D63" s="32"/>
      <c r="H63" s="32"/>
      <c r="I63" s="32"/>
      <c r="J63" s="32"/>
      <c r="K63" s="32"/>
      <c r="L63" s="32"/>
      <c r="O63" s="32"/>
    </row>
    <row r="64" spans="2:23" x14ac:dyDescent="0.2">
      <c r="B64" s="23" t="s">
        <v>26</v>
      </c>
      <c r="C64" s="13">
        <f>C13+C22+C32+C41+C53+C62</f>
        <v>1727050.304855302</v>
      </c>
      <c r="D64" s="13">
        <f>D13+D22+D32+D41+D53+D62</f>
        <v>2315987</v>
      </c>
      <c r="H64" s="13">
        <f>H13+H22+H32+H41+H53+H62</f>
        <v>1827685.5198759558</v>
      </c>
      <c r="I64" s="13">
        <f>I13+I22+I32+I41+I53+I62</f>
        <v>1631897.6641830297</v>
      </c>
      <c r="J64" s="13">
        <f t="shared" ref="J64:O64" si="25">J13+J22+J32+J41+J53+J62</f>
        <v>1512000</v>
      </c>
      <c r="K64" s="13">
        <f t="shared" si="25"/>
        <v>1058610</v>
      </c>
      <c r="L64" s="13">
        <f t="shared" si="25"/>
        <v>973092.99</v>
      </c>
      <c r="M64" s="13">
        <f t="shared" si="25"/>
        <v>845539.99</v>
      </c>
      <c r="N64" s="13">
        <f t="shared" si="25"/>
        <v>745119</v>
      </c>
      <c r="O64" s="13">
        <f t="shared" si="25"/>
        <v>804617</v>
      </c>
    </row>
    <row r="65" spans="2:17" x14ac:dyDescent="0.2">
      <c r="B65" t="s">
        <v>32</v>
      </c>
      <c r="C65" s="38">
        <f>C64/D64</f>
        <v>0.74570811703835216</v>
      </c>
      <c r="D65" s="38">
        <f>D64/H64</f>
        <v>1.2671693104824648</v>
      </c>
      <c r="H65" s="38">
        <f>H64/I64</f>
        <v>1.119975571992097</v>
      </c>
      <c r="I65" s="38">
        <f t="shared" ref="I65:N65" si="26">I64/J64</f>
        <v>1.0792973969464481</v>
      </c>
      <c r="J65" s="38">
        <f t="shared" si="26"/>
        <v>1.428288038087681</v>
      </c>
      <c r="K65" s="38">
        <f t="shared" si="26"/>
        <v>1.0878816422261968</v>
      </c>
      <c r="L65" s="38">
        <f t="shared" si="26"/>
        <v>1.1508538939713544</v>
      </c>
      <c r="M65" s="38">
        <f t="shared" si="26"/>
        <v>1.1347717478684614</v>
      </c>
      <c r="N65" s="38">
        <f t="shared" si="26"/>
        <v>0.92605425935569341</v>
      </c>
    </row>
    <row r="66" spans="2:17" x14ac:dyDescent="0.2">
      <c r="C66" t="s">
        <v>106</v>
      </c>
      <c r="Q66" s="23" t="s">
        <v>108</v>
      </c>
    </row>
    <row r="67" spans="2:17" x14ac:dyDescent="0.2">
      <c r="C67" s="13">
        <f>C18+C37+C58</f>
        <v>280795.19453201944</v>
      </c>
      <c r="E67" s="13"/>
      <c r="H67" s="13"/>
      <c r="P67" s="23" t="s">
        <v>7</v>
      </c>
      <c r="Q67" s="6">
        <f>S8+S27+C48</f>
        <v>12479.739756978641</v>
      </c>
    </row>
    <row r="68" spans="2:17" x14ac:dyDescent="0.2">
      <c r="C68" s="13">
        <f t="shared" ref="C68:C69" si="27">C19+C38+C59</f>
        <v>256132.16542983943</v>
      </c>
      <c r="E68" s="13"/>
      <c r="H68" s="13"/>
      <c r="P68" s="23" t="s">
        <v>8</v>
      </c>
      <c r="Q68" s="6">
        <f t="shared" ref="Q68:Q70" si="28">S9+S28+C49</f>
        <v>11383.651796881753</v>
      </c>
    </row>
    <row r="69" spans="2:17" x14ac:dyDescent="0.2">
      <c r="C69" s="13">
        <f t="shared" si="27"/>
        <v>209338.84509645932</v>
      </c>
      <c r="E69" s="13"/>
      <c r="H69" s="13"/>
      <c r="P69" s="23" t="s">
        <v>9</v>
      </c>
      <c r="Q69" s="6">
        <f t="shared" si="28"/>
        <v>9303.9042265093012</v>
      </c>
    </row>
    <row r="70" spans="2:17" x14ac:dyDescent="0.2">
      <c r="C70" s="13">
        <f>C21+C40+C61</f>
        <v>808080.07431145338</v>
      </c>
      <c r="E70" s="13"/>
      <c r="H70" s="13"/>
      <c r="P70" s="23" t="s">
        <v>155</v>
      </c>
      <c r="Q70" s="6">
        <f t="shared" si="28"/>
        <v>35914.714413842376</v>
      </c>
    </row>
    <row r="71" spans="2:17" ht="13.5" thickBot="1" x14ac:dyDescent="0.25">
      <c r="C71" s="147">
        <f>SUM(C67:C70)</f>
        <v>1554346.2793697715</v>
      </c>
      <c r="P71" s="23" t="s">
        <v>11</v>
      </c>
      <c r="Q71" s="96">
        <f>S12+S31+C52</f>
        <v>103623.01529131809</v>
      </c>
    </row>
    <row r="72" spans="2:17" ht="14.25" thickTop="1" thickBot="1" x14ac:dyDescent="0.25">
      <c r="Q72" s="34">
        <f>SUM(Q67:Q71)</f>
        <v>172705.02548553015</v>
      </c>
    </row>
    <row r="73" spans="2:17" ht="13.5" thickTop="1" x14ac:dyDescent="0.2"/>
  </sheetData>
  <mergeCells count="1">
    <mergeCell ref="Q1:R1"/>
  </mergeCells>
  <pageMargins left="0.75" right="0.75" top="1" bottom="1" header="0.5" footer="0.5"/>
  <pageSetup scale="6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774C1-EE5E-4844-8E5E-87D772B41094}">
  <dimension ref="A1:L16"/>
  <sheetViews>
    <sheetView workbookViewId="0">
      <selection activeCell="F14" sqref="F14"/>
    </sheetView>
  </sheetViews>
  <sheetFormatPr defaultRowHeight="12.75" x14ac:dyDescent="0.2"/>
  <cols>
    <col min="3" max="3" width="10.42578125" bestFit="1" customWidth="1"/>
    <col min="4" max="5" width="12" bestFit="1" customWidth="1"/>
    <col min="6" max="6" width="13.5703125" bestFit="1" customWidth="1"/>
    <col min="7" max="7" width="1.28515625" bestFit="1" customWidth="1"/>
    <col min="8" max="9" width="12" bestFit="1" customWidth="1"/>
    <col min="10" max="10" width="1.28515625" bestFit="1" customWidth="1"/>
    <col min="11" max="11" width="11" bestFit="1" customWidth="1"/>
    <col min="12" max="12" width="12" bestFit="1" customWidth="1"/>
  </cols>
  <sheetData>
    <row r="1" spans="1:12" ht="15.75" x14ac:dyDescent="0.25">
      <c r="A1" s="148" t="s">
        <v>146</v>
      </c>
    </row>
    <row r="2" spans="1:12" ht="15" x14ac:dyDescent="0.25">
      <c r="H2" s="149" t="s">
        <v>142</v>
      </c>
      <c r="I2" s="149" t="s">
        <v>143</v>
      </c>
      <c r="J2" s="150"/>
      <c r="K2" s="149" t="s">
        <v>142</v>
      </c>
      <c r="L2" s="149" t="s">
        <v>143</v>
      </c>
    </row>
    <row r="3" spans="1:12" ht="15" x14ac:dyDescent="0.25">
      <c r="A3" s="149" t="s">
        <v>147</v>
      </c>
      <c r="B3" s="149" t="s">
        <v>148</v>
      </c>
      <c r="C3" s="149" t="s">
        <v>2</v>
      </c>
      <c r="D3" s="149" t="s">
        <v>64</v>
      </c>
      <c r="E3" s="149" t="s">
        <v>71</v>
      </c>
      <c r="F3" s="149" t="s">
        <v>149</v>
      </c>
      <c r="G3" t="s">
        <v>150</v>
      </c>
      <c r="H3" s="149" t="s">
        <v>151</v>
      </c>
      <c r="I3" s="149" t="s">
        <v>152</v>
      </c>
      <c r="J3" s="150" t="s">
        <v>153</v>
      </c>
      <c r="K3" s="149" t="s">
        <v>76</v>
      </c>
      <c r="L3" s="149" t="s">
        <v>154</v>
      </c>
    </row>
    <row r="4" spans="1:12" x14ac:dyDescent="0.2">
      <c r="H4" s="151">
        <v>0.17503587631578743</v>
      </c>
      <c r="I4" s="151">
        <v>0.82496412980370948</v>
      </c>
      <c r="K4" s="151">
        <v>0.19029353169170182</v>
      </c>
      <c r="L4" s="151">
        <v>0.80970646830829818</v>
      </c>
    </row>
    <row r="5" spans="1:12" x14ac:dyDescent="0.2">
      <c r="A5" t="s">
        <v>5</v>
      </c>
      <c r="B5" s="150">
        <v>56</v>
      </c>
      <c r="C5" s="150" t="s">
        <v>7</v>
      </c>
      <c r="D5" s="96">
        <v>96901.957068175048</v>
      </c>
      <c r="E5" s="96">
        <v>97760.46181423738</v>
      </c>
      <c r="F5" s="96">
        <v>117331.07444906236</v>
      </c>
      <c r="G5" s="96"/>
      <c r="H5" s="96">
        <v>16961.318972142832</v>
      </c>
      <c r="I5" s="96">
        <v>79940.638689023443</v>
      </c>
      <c r="J5" s="96"/>
      <c r="K5" s="96">
        <v>22327.344534094074</v>
      </c>
      <c r="L5" s="96">
        <v>95003.72991496828</v>
      </c>
    </row>
    <row r="6" spans="1:12" x14ac:dyDescent="0.2">
      <c r="A6" t="s">
        <v>5</v>
      </c>
      <c r="B6" s="150">
        <v>58</v>
      </c>
      <c r="C6" s="150" t="s">
        <v>8</v>
      </c>
      <c r="D6" s="96">
        <v>98191.786772966909</v>
      </c>
      <c r="E6" s="96">
        <v>102859.44415146366</v>
      </c>
      <c r="F6" s="96">
        <v>83540.063396728918</v>
      </c>
      <c r="G6" s="96"/>
      <c r="H6" s="96">
        <v>17187.085444819208</v>
      </c>
      <c r="I6" s="96">
        <v>81004.701929032031</v>
      </c>
      <c r="J6" s="96"/>
      <c r="K6" s="96">
        <v>15897.133701512214</v>
      </c>
      <c r="L6" s="96">
        <v>67642.929695216706</v>
      </c>
    </row>
    <row r="7" spans="1:12" x14ac:dyDescent="0.2">
      <c r="A7" t="s">
        <v>5</v>
      </c>
      <c r="B7" s="150">
        <v>61</v>
      </c>
      <c r="C7" s="150" t="s">
        <v>9</v>
      </c>
      <c r="D7" s="96">
        <v>87410.260057944295</v>
      </c>
      <c r="E7" s="96">
        <v>71003.14847596403</v>
      </c>
      <c r="F7" s="96">
        <v>74184.196593917412</v>
      </c>
      <c r="G7" s="96"/>
      <c r="H7" s="96">
        <v>15299.931468233151</v>
      </c>
      <c r="I7" s="96">
        <v>72110.329124617958</v>
      </c>
      <c r="J7" s="96"/>
      <c r="K7" s="96">
        <v>14116.772765568061</v>
      </c>
      <c r="L7" s="96">
        <v>60067.423828349347</v>
      </c>
    </row>
    <row r="8" spans="1:12" x14ac:dyDescent="0.2">
      <c r="A8" t="s">
        <v>5</v>
      </c>
      <c r="B8" s="150">
        <v>84</v>
      </c>
      <c r="C8" s="150" t="s">
        <v>10</v>
      </c>
      <c r="D8" s="96">
        <v>320984.74707142066</v>
      </c>
      <c r="E8" s="96">
        <v>346079.42707623786</v>
      </c>
      <c r="F8" s="96">
        <v>230803.68423413561</v>
      </c>
      <c r="G8" s="96"/>
      <c r="H8" s="96">
        <v>56183.846487647497</v>
      </c>
      <c r="I8" s="96">
        <v>264800.90254803834</v>
      </c>
      <c r="J8" s="96"/>
      <c r="K8" s="96">
        <v>43920.448200370025</v>
      </c>
      <c r="L8" s="96">
        <v>186883.2360337656</v>
      </c>
    </row>
    <row r="9" spans="1:12" ht="15" x14ac:dyDescent="0.25">
      <c r="A9" s="152" t="s">
        <v>87</v>
      </c>
      <c r="D9" s="153">
        <v>603488.75097050692</v>
      </c>
      <c r="E9" s="153">
        <v>617702.48151790292</v>
      </c>
      <c r="F9" s="153">
        <v>505859.01867384434</v>
      </c>
      <c r="H9" s="153">
        <v>105632.18237284268</v>
      </c>
      <c r="I9" s="153">
        <v>497856.5722907118</v>
      </c>
      <c r="K9" s="153">
        <v>96261.699201544368</v>
      </c>
      <c r="L9" s="153">
        <v>409597.31947229995</v>
      </c>
    </row>
    <row r="11" spans="1:12" x14ac:dyDescent="0.2">
      <c r="D11" s="154">
        <f>D9*0.1</f>
        <v>60348.875097050695</v>
      </c>
      <c r="E11" s="154">
        <f t="shared" ref="E11:L11" si="0">E9*0.1</f>
        <v>61770.248151790292</v>
      </c>
      <c r="F11" s="154">
        <f t="shared" si="0"/>
        <v>50585.90186738444</v>
      </c>
      <c r="G11" s="154">
        <f t="shared" si="0"/>
        <v>0</v>
      </c>
      <c r="H11" s="154">
        <f t="shared" si="0"/>
        <v>10563.218237284269</v>
      </c>
      <c r="I11" s="154">
        <f t="shared" si="0"/>
        <v>49785.657229071185</v>
      </c>
      <c r="J11" s="154">
        <f t="shared" si="0"/>
        <v>0</v>
      </c>
      <c r="K11" s="154">
        <f t="shared" si="0"/>
        <v>9626.1699201544379</v>
      </c>
      <c r="L11" s="154">
        <f t="shared" si="0"/>
        <v>40959.731947230001</v>
      </c>
    </row>
    <row r="12" spans="1:12" x14ac:dyDescent="0.2">
      <c r="D12" s="154">
        <f>D9*0.9</f>
        <v>543139.87587345624</v>
      </c>
      <c r="E12" s="154">
        <f t="shared" ref="E12:L12" si="1">E9*0.9</f>
        <v>555932.23336611269</v>
      </c>
      <c r="F12" s="154">
        <f t="shared" si="1"/>
        <v>455273.1168064599</v>
      </c>
      <c r="G12" s="154">
        <f t="shared" si="1"/>
        <v>0</v>
      </c>
      <c r="H12" s="154">
        <f t="shared" si="1"/>
        <v>95068.964135558417</v>
      </c>
      <c r="I12" s="154">
        <f t="shared" si="1"/>
        <v>448070.91506164061</v>
      </c>
      <c r="J12" s="154">
        <f t="shared" si="1"/>
        <v>0</v>
      </c>
      <c r="K12" s="154">
        <f t="shared" si="1"/>
        <v>86635.529281389929</v>
      </c>
      <c r="L12" s="154">
        <f t="shared" si="1"/>
        <v>368637.58752506995</v>
      </c>
    </row>
    <row r="14" spans="1:12" x14ac:dyDescent="0.2">
      <c r="F14" s="154">
        <f>SUM(D9:F9)</f>
        <v>1727050.2511622543</v>
      </c>
      <c r="I14" s="154">
        <f>(H9+I9)*0.06</f>
        <v>36209.325279813267</v>
      </c>
      <c r="L14" s="154">
        <f>(K9+L9)*0.06</f>
        <v>30351.541120430655</v>
      </c>
    </row>
    <row r="15" spans="1:12" x14ac:dyDescent="0.2">
      <c r="F15" s="154">
        <f>F14*0.9</f>
        <v>1554345.2260460288</v>
      </c>
    </row>
    <row r="16" spans="1:12" x14ac:dyDescent="0.2">
      <c r="F16" s="154">
        <f>F14*0.1</f>
        <v>172705.02511622544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73"/>
  <sheetViews>
    <sheetView zoomScale="71" zoomScaleNormal="71" workbookViewId="0">
      <selection activeCell="E11" sqref="E11"/>
    </sheetView>
  </sheetViews>
  <sheetFormatPr defaultColWidth="9.140625" defaultRowHeight="12.75" x14ac:dyDescent="0.2"/>
  <cols>
    <col min="1" max="1" width="9.140625" customWidth="1"/>
    <col min="2" max="2" width="15.7109375" customWidth="1"/>
    <col min="3" max="3" width="11.42578125" customWidth="1"/>
    <col min="4" max="4" width="11.28515625" customWidth="1"/>
    <col min="5" max="5" width="10.5703125" customWidth="1"/>
    <col min="6" max="6" width="11.140625" customWidth="1"/>
    <col min="8" max="8" width="10.85546875" customWidth="1"/>
    <col min="9" max="9" width="9.85546875" customWidth="1"/>
    <col min="10" max="10" width="10.140625" hidden="1" customWidth="1"/>
    <col min="11" max="13" width="10.5703125" hidden="1" customWidth="1"/>
    <col min="14" max="14" width="11" hidden="1" customWidth="1"/>
    <col min="16" max="16" width="14.42578125" customWidth="1"/>
    <col min="17" max="17" width="11.5703125" style="101" customWidth="1"/>
    <col min="18" max="18" width="14.140625" customWidth="1"/>
    <col min="19" max="19" width="17.42578125" bestFit="1" customWidth="1"/>
  </cols>
  <sheetData>
    <row r="1" spans="2:19" s="7" customFormat="1" ht="20.25" x14ac:dyDescent="0.3">
      <c r="C1" s="15" t="s">
        <v>109</v>
      </c>
      <c r="P1" s="194">
        <f ca="1">NOW()</f>
        <v>45157.674522685185</v>
      </c>
      <c r="Q1" s="194"/>
    </row>
    <row r="2" spans="2:19" s="7" customFormat="1" ht="15.75" x14ac:dyDescent="0.25">
      <c r="B2" s="7" t="s">
        <v>139</v>
      </c>
      <c r="F2" s="19"/>
      <c r="Q2" s="100"/>
    </row>
    <row r="3" spans="2:19" s="7" customFormat="1" ht="15.75" x14ac:dyDescent="0.25">
      <c r="Q3" s="100"/>
    </row>
    <row r="4" spans="2:19" s="7" customFormat="1" ht="15.75" x14ac:dyDescent="0.25">
      <c r="Q4" s="100"/>
    </row>
    <row r="5" spans="2:19" s="7" customFormat="1" ht="15.75" x14ac:dyDescent="0.25">
      <c r="C5" s="7" t="s">
        <v>101</v>
      </c>
      <c r="H5" s="7" t="s">
        <v>103</v>
      </c>
      <c r="P5" s="7" t="s">
        <v>102</v>
      </c>
      <c r="Q5" s="100"/>
    </row>
    <row r="6" spans="2:19" ht="13.5" thickBot="1" x14ac:dyDescent="0.25">
      <c r="B6" s="146" t="s">
        <v>68</v>
      </c>
    </row>
    <row r="7" spans="2:19" ht="39" customHeight="1" thickBot="1" x14ac:dyDescent="0.3">
      <c r="B7" s="18" t="s">
        <v>3</v>
      </c>
      <c r="C7" s="43" t="s">
        <v>133</v>
      </c>
      <c r="D7" s="43" t="s">
        <v>110</v>
      </c>
      <c r="E7" s="24" t="s">
        <v>24</v>
      </c>
      <c r="F7" s="24" t="s">
        <v>23</v>
      </c>
      <c r="H7" s="43" t="s">
        <v>99</v>
      </c>
      <c r="I7" s="43" t="s">
        <v>40</v>
      </c>
      <c r="J7" s="43" t="s">
        <v>38</v>
      </c>
      <c r="K7" s="43" t="s">
        <v>37</v>
      </c>
      <c r="L7" s="42" t="s">
        <v>31</v>
      </c>
      <c r="M7" s="42" t="s">
        <v>34</v>
      </c>
      <c r="N7" s="42" t="s">
        <v>35</v>
      </c>
      <c r="P7" s="37" t="s">
        <v>112</v>
      </c>
      <c r="Q7" s="102" t="s">
        <v>113</v>
      </c>
      <c r="R7" s="35" t="s">
        <v>87</v>
      </c>
    </row>
    <row r="8" spans="2:19" ht="12.75" customHeight="1" x14ac:dyDescent="0.2">
      <c r="B8" s="2" t="s">
        <v>7</v>
      </c>
      <c r="C8" s="55">
        <f>P8+Q8</f>
        <v>7701.4400000000005</v>
      </c>
      <c r="D8" s="45">
        <v>4812.8006768596715</v>
      </c>
      <c r="E8" s="8">
        <f t="shared" ref="E8:E13" si="0">C8-D8</f>
        <v>2888.639323140329</v>
      </c>
      <c r="F8" s="9">
        <f t="shared" ref="F8:F13" si="1">-1+(C8/D8)</f>
        <v>0.60019924303724781</v>
      </c>
      <c r="H8" s="45">
        <v>3779.9924565869383</v>
      </c>
      <c r="I8" s="45">
        <v>4096.2880000000005</v>
      </c>
      <c r="J8" s="45">
        <v>2727.15</v>
      </c>
      <c r="K8" s="45">
        <v>2179.92</v>
      </c>
      <c r="L8" s="8">
        <v>1475.6759999999999</v>
      </c>
      <c r="M8" s="8">
        <v>1290.7760000000001</v>
      </c>
      <c r="N8" s="25">
        <v>1695</v>
      </c>
      <c r="P8" s="32">
        <f>[4]SFY21_WIOA_Allocations!F14*0.04</f>
        <v>1285.72</v>
      </c>
      <c r="Q8" s="32">
        <f>[4]SFY21_WIOA_Allocations!G14*0.04</f>
        <v>6415.72</v>
      </c>
      <c r="R8" s="32">
        <f>P8+Q8</f>
        <v>7701.4400000000005</v>
      </c>
    </row>
    <row r="9" spans="2:19" ht="12.75" customHeight="1" x14ac:dyDescent="0.2">
      <c r="B9" s="2" t="s">
        <v>8</v>
      </c>
      <c r="C9" s="55">
        <f t="shared" ref="C9:C12" si="2">P9+Q9</f>
        <v>5081.96</v>
      </c>
      <c r="D9" s="45">
        <v>3820.5404867807806</v>
      </c>
      <c r="E9" s="8">
        <f t="shared" si="0"/>
        <v>1261.4195132192194</v>
      </c>
      <c r="F9" s="9">
        <f t="shared" si="1"/>
        <v>0.3301678172456961</v>
      </c>
      <c r="H9" s="45">
        <v>3149.895909943019</v>
      </c>
      <c r="I9" s="45">
        <v>3044.8360000000002</v>
      </c>
      <c r="J9" s="45">
        <v>2041.86</v>
      </c>
      <c r="K9" s="45">
        <v>1930.124</v>
      </c>
      <c r="L9" s="8">
        <v>1748.856</v>
      </c>
      <c r="M9" s="8">
        <v>1662.6520000000003</v>
      </c>
      <c r="N9" s="25">
        <v>1972</v>
      </c>
      <c r="P9" s="32">
        <f>[4]SFY21_WIOA_Allocations!F15*0.04</f>
        <v>848.4</v>
      </c>
      <c r="Q9" s="32">
        <f>[4]SFY21_WIOA_Allocations!G15*0.04</f>
        <v>4233.5600000000004</v>
      </c>
      <c r="R9" s="32">
        <f t="shared" ref="R9:R12" si="3">P9+Q9</f>
        <v>5081.96</v>
      </c>
    </row>
    <row r="10" spans="2:19" ht="12.75" customHeight="1" x14ac:dyDescent="0.2">
      <c r="B10" s="2" t="s">
        <v>9</v>
      </c>
      <c r="C10" s="55">
        <f t="shared" si="2"/>
        <v>5272.08</v>
      </c>
      <c r="D10" s="45">
        <v>3717.9789092758988</v>
      </c>
      <c r="E10" s="8">
        <f t="shared" si="0"/>
        <v>1554.1010907241011</v>
      </c>
      <c r="F10" s="9">
        <f t="shared" si="1"/>
        <v>0.41799620940474158</v>
      </c>
      <c r="H10" s="45">
        <v>2943.5529483525506</v>
      </c>
      <c r="I10" s="45">
        <v>2774.6560000000004</v>
      </c>
      <c r="J10" s="45">
        <v>1894.69</v>
      </c>
      <c r="K10" s="45">
        <v>1853.5120000000002</v>
      </c>
      <c r="L10" s="8">
        <v>1825.048</v>
      </c>
      <c r="M10" s="8">
        <v>1863.7840000000001</v>
      </c>
      <c r="N10" s="25">
        <v>1893</v>
      </c>
      <c r="P10" s="32">
        <f>[4]SFY21_WIOA_Allocations!F16*0.04</f>
        <v>880.16</v>
      </c>
      <c r="Q10" s="32">
        <f>[4]SFY21_WIOA_Allocations!G16*0.04</f>
        <v>4391.92</v>
      </c>
      <c r="R10" s="32">
        <f t="shared" si="3"/>
        <v>5272.08</v>
      </c>
    </row>
    <row r="11" spans="2:19" ht="12.75" customHeight="1" x14ac:dyDescent="0.2">
      <c r="B11" s="2" t="s">
        <v>10</v>
      </c>
      <c r="C11" s="55">
        <f t="shared" si="2"/>
        <v>14640.880000000001</v>
      </c>
      <c r="D11" s="45">
        <v>11859.142707399747</v>
      </c>
      <c r="E11" s="8">
        <f t="shared" si="0"/>
        <v>2781.7372926002536</v>
      </c>
      <c r="F11" s="9">
        <f t="shared" si="1"/>
        <v>0.23456478779570911</v>
      </c>
      <c r="H11" s="45">
        <v>10263.132494274008</v>
      </c>
      <c r="I11" s="45">
        <v>8599.6200000000008</v>
      </c>
      <c r="J11" s="45">
        <v>5306.02</v>
      </c>
      <c r="K11" s="45">
        <v>4768.4340000000002</v>
      </c>
      <c r="L11" s="8">
        <v>4603.01</v>
      </c>
      <c r="M11" s="8">
        <v>4897.1880000000001</v>
      </c>
      <c r="N11" s="25">
        <v>5732</v>
      </c>
      <c r="P11" s="32">
        <f>[4]SFY21_WIOA_Allocations!F17*0.04</f>
        <v>2444.2000000000003</v>
      </c>
      <c r="Q11" s="32">
        <f>[4]SFY21_WIOA_Allocations!G17*0.04</f>
        <v>12196.68</v>
      </c>
      <c r="R11" s="32">
        <f t="shared" si="3"/>
        <v>14640.880000000001</v>
      </c>
    </row>
    <row r="12" spans="2:19" ht="12.75" customHeight="1" thickBot="1" x14ac:dyDescent="0.25">
      <c r="B12" s="2" t="s">
        <v>11</v>
      </c>
      <c r="C12" s="55">
        <f t="shared" si="2"/>
        <v>49044.54</v>
      </c>
      <c r="D12" s="45">
        <v>36315.694170474148</v>
      </c>
      <c r="E12" s="8">
        <f t="shared" si="0"/>
        <v>12728.845829525853</v>
      </c>
      <c r="F12" s="9">
        <f t="shared" si="1"/>
        <v>0.3505053702064389</v>
      </c>
      <c r="H12" s="45">
        <v>30204.860713734772</v>
      </c>
      <c r="I12" s="45">
        <v>27773.599999999999</v>
      </c>
      <c r="J12" s="45">
        <v>17954.28</v>
      </c>
      <c r="K12" s="45">
        <v>16098</v>
      </c>
      <c r="L12" s="8">
        <v>14480.4</v>
      </c>
      <c r="M12" s="8">
        <v>14571.6</v>
      </c>
      <c r="N12" s="25">
        <v>16938</v>
      </c>
      <c r="P12" s="32">
        <f>[4]SFY21_WIOA_Allocations!F18*0.06</f>
        <v>8187.7199999999993</v>
      </c>
      <c r="Q12" s="32">
        <f>[4]SFY21_WIOA_Allocations!G18*0.06</f>
        <v>40856.82</v>
      </c>
      <c r="R12" s="32">
        <f t="shared" si="3"/>
        <v>49044.54</v>
      </c>
      <c r="S12" s="32">
        <f>R12-P13+1</f>
        <v>35399.340000000004</v>
      </c>
    </row>
    <row r="13" spans="2:19" ht="12.75" customHeight="1" thickBot="1" x14ac:dyDescent="0.25">
      <c r="C13" s="56">
        <f>SUM(C8:C12)</f>
        <v>81740.900000000009</v>
      </c>
      <c r="D13" s="11">
        <f>SUM(D8:D12)</f>
        <v>60526.156950790246</v>
      </c>
      <c r="E13" s="8">
        <f t="shared" si="0"/>
        <v>21214.743049209763</v>
      </c>
      <c r="F13" s="9">
        <f t="shared" si="1"/>
        <v>0.3505053702064389</v>
      </c>
      <c r="H13" s="45">
        <f>SUM(H8:H12)</f>
        <v>50341.434522891286</v>
      </c>
      <c r="I13" s="45">
        <f t="shared" ref="I13:N13" si="4">SUM(I8:I12)</f>
        <v>46289</v>
      </c>
      <c r="J13" s="45">
        <f t="shared" si="4"/>
        <v>29924</v>
      </c>
      <c r="K13" s="45">
        <f t="shared" si="4"/>
        <v>26829.99</v>
      </c>
      <c r="L13" s="11">
        <f t="shared" si="4"/>
        <v>24132.989999999998</v>
      </c>
      <c r="M13" s="11">
        <f t="shared" si="4"/>
        <v>24286</v>
      </c>
      <c r="N13" s="26">
        <f t="shared" si="4"/>
        <v>28230</v>
      </c>
      <c r="P13" s="118">
        <f t="shared" ref="P13:Q13" si="5">SUM(P8:P12)</f>
        <v>13646.199999999999</v>
      </c>
      <c r="Q13" s="119">
        <f t="shared" si="5"/>
        <v>68094.7</v>
      </c>
      <c r="R13" s="118">
        <f>SUM(R8:R12)</f>
        <v>81740.900000000009</v>
      </c>
    </row>
    <row r="14" spans="2:19" ht="12.75" customHeight="1" x14ac:dyDescent="0.2">
      <c r="C14" s="32"/>
      <c r="E14" s="13"/>
      <c r="F14" s="14"/>
      <c r="L14" s="13"/>
      <c r="M14" s="13"/>
      <c r="P14" s="32"/>
      <c r="Q14" s="107"/>
      <c r="R14" s="32"/>
    </row>
    <row r="15" spans="2:19" ht="17.25" customHeight="1" thickBot="1" x14ac:dyDescent="0.3">
      <c r="B15" s="7" t="s">
        <v>16</v>
      </c>
      <c r="C15" s="32"/>
      <c r="P15" s="96"/>
    </row>
    <row r="16" spans="2:19" ht="12.75" hidden="1" customHeight="1" thickBot="1" x14ac:dyDescent="0.25">
      <c r="C16" s="53">
        <f>483473*0.9</f>
        <v>435125.7</v>
      </c>
    </row>
    <row r="17" spans="2:19" ht="42" customHeight="1" thickBot="1" x14ac:dyDescent="0.3">
      <c r="B17" s="18" t="s">
        <v>3</v>
      </c>
      <c r="C17" s="43" t="s">
        <v>133</v>
      </c>
      <c r="D17" s="43" t="str">
        <f>D7</f>
        <v>PY19 &amp; FY20 Actual</v>
      </c>
      <c r="E17" s="24" t="s">
        <v>24</v>
      </c>
      <c r="F17" s="24" t="s">
        <v>23</v>
      </c>
      <c r="H17" s="43" t="str">
        <f>H7</f>
        <v>PY18 &amp; FY19 Actual</v>
      </c>
      <c r="I17" s="43" t="str">
        <f>I7</f>
        <v>PY17 &amp; FY18 Actual</v>
      </c>
      <c r="J17" s="43" t="s">
        <v>38</v>
      </c>
      <c r="K17" s="43" t="s">
        <v>37</v>
      </c>
      <c r="L17" s="42" t="s">
        <v>31</v>
      </c>
      <c r="M17" s="42" t="s">
        <v>34</v>
      </c>
      <c r="N17" s="42" t="s">
        <v>35</v>
      </c>
      <c r="P17" s="37" t="str">
        <f>P7</f>
        <v>PY20</v>
      </c>
      <c r="Q17" s="102" t="str">
        <f>Q7</f>
        <v>FY21</v>
      </c>
      <c r="R17" s="35" t="s">
        <v>87</v>
      </c>
    </row>
    <row r="18" spans="2:19" ht="12.75" customHeight="1" x14ac:dyDescent="0.2">
      <c r="B18" s="2" t="s">
        <v>7</v>
      </c>
      <c r="C18" s="55">
        <f t="shared" ref="C18:C21" si="6">P18+Q18</f>
        <v>173282.40000000002</v>
      </c>
      <c r="D18" s="45">
        <v>108288.01522934259</v>
      </c>
      <c r="E18" s="8">
        <f t="shared" ref="E18:E23" si="7">C18-D18</f>
        <v>64994.384770657431</v>
      </c>
      <c r="F18" s="9">
        <f>-1+(C18/D18)</f>
        <v>0.60019924303724825</v>
      </c>
      <c r="H18" s="45">
        <v>85049.830273206113</v>
      </c>
      <c r="I18" s="45">
        <v>92168.79</v>
      </c>
      <c r="J18" s="45">
        <v>61354.85</v>
      </c>
      <c r="K18" s="45">
        <v>49052.160000000003</v>
      </c>
      <c r="L18" s="8">
        <v>33207.19</v>
      </c>
      <c r="M18" s="8">
        <v>29032.03</v>
      </c>
      <c r="N18" s="25">
        <v>38132</v>
      </c>
      <c r="P18" s="32">
        <f>[4]SFY21_WIOA_Allocations!F14*0.9</f>
        <v>28928.7</v>
      </c>
      <c r="Q18" s="32">
        <f>[4]SFY21_WIOA_Allocations!G14*0.9</f>
        <v>144353.70000000001</v>
      </c>
      <c r="R18" s="32">
        <f>P18+Q18</f>
        <v>173282.40000000002</v>
      </c>
    </row>
    <row r="19" spans="2:19" ht="12.75" customHeight="1" x14ac:dyDescent="0.2">
      <c r="B19" s="2" t="s">
        <v>8</v>
      </c>
      <c r="C19" s="55">
        <f t="shared" si="6"/>
        <v>114344.1</v>
      </c>
      <c r="D19" s="45">
        <v>85962.160952567559</v>
      </c>
      <c r="E19" s="8">
        <f t="shared" si="7"/>
        <v>28381.939047432446</v>
      </c>
      <c r="F19" s="9">
        <f>-1+(C19/D19)</f>
        <v>0.3301678172456961</v>
      </c>
      <c r="H19" s="45">
        <v>70872.657973717927</v>
      </c>
      <c r="I19" s="45">
        <v>68509.820000000007</v>
      </c>
      <c r="J19" s="45">
        <v>45941.429999999993</v>
      </c>
      <c r="K19" s="45">
        <v>43418.810000000005</v>
      </c>
      <c r="L19" s="8">
        <v>39345.279999999999</v>
      </c>
      <c r="M19" s="8">
        <v>37399.170000000006</v>
      </c>
      <c r="N19" s="25">
        <v>44379</v>
      </c>
      <c r="P19" s="32">
        <f>[4]SFY21_WIOA_Allocations!F15*0.9</f>
        <v>19089</v>
      </c>
      <c r="Q19" s="32">
        <f>[4]SFY21_WIOA_Allocations!G15*0.9</f>
        <v>95255.1</v>
      </c>
      <c r="R19" s="32">
        <f t="shared" ref="R19:R21" si="8">P19+Q19</f>
        <v>114344.1</v>
      </c>
    </row>
    <row r="20" spans="2:19" ht="12.75" customHeight="1" x14ac:dyDescent="0.2">
      <c r="B20" s="2" t="s">
        <v>9</v>
      </c>
      <c r="C20" s="55">
        <f t="shared" si="6"/>
        <v>118621.8</v>
      </c>
      <c r="D20" s="45">
        <v>83654.525458707736</v>
      </c>
      <c r="E20" s="8">
        <f t="shared" si="7"/>
        <v>34967.274541292267</v>
      </c>
      <c r="F20" s="9">
        <f>-1+(C20/D20)</f>
        <v>0.41799620940474136</v>
      </c>
      <c r="H20" s="45">
        <v>66229.941337932396</v>
      </c>
      <c r="I20" s="45">
        <v>62430.770000000004</v>
      </c>
      <c r="J20" s="45">
        <v>42630.28</v>
      </c>
      <c r="K20" s="45">
        <v>41701.97</v>
      </c>
      <c r="L20" s="8">
        <v>41075.050000000003</v>
      </c>
      <c r="M20" s="8">
        <v>41938.61</v>
      </c>
      <c r="N20" s="25">
        <v>42591</v>
      </c>
      <c r="P20" s="32">
        <f>[4]SFY21_WIOA_Allocations!F16*0.9</f>
        <v>19803.600000000002</v>
      </c>
      <c r="Q20" s="32">
        <f>[4]SFY21_WIOA_Allocations!G16*0.9</f>
        <v>98818.2</v>
      </c>
      <c r="R20" s="32">
        <f t="shared" si="8"/>
        <v>118621.8</v>
      </c>
    </row>
    <row r="21" spans="2:19" ht="12.75" customHeight="1" thickBot="1" x14ac:dyDescent="0.25">
      <c r="B21" s="2" t="s">
        <v>10</v>
      </c>
      <c r="C21" s="55">
        <f t="shared" si="6"/>
        <v>329419.3</v>
      </c>
      <c r="D21" s="45">
        <v>266830.71091649431</v>
      </c>
      <c r="E21" s="8">
        <f t="shared" si="7"/>
        <v>62588.589083505678</v>
      </c>
      <c r="F21" s="9">
        <f>-1+(C21/D21)</f>
        <v>0.23456291394843598</v>
      </c>
      <c r="H21" s="45">
        <v>230920.48112116518</v>
      </c>
      <c r="I21" s="45">
        <v>193496.62</v>
      </c>
      <c r="J21" s="45">
        <v>119387.44</v>
      </c>
      <c r="K21" s="45">
        <v>107288.06</v>
      </c>
      <c r="L21" s="8">
        <v>103558.48000000001</v>
      </c>
      <c r="M21" s="8">
        <v>110187.19</v>
      </c>
      <c r="N21" s="25">
        <v>128963</v>
      </c>
      <c r="P21" s="32">
        <f>[4]SFY21_WIOA_Allocations!F17*0.9-1.5</f>
        <v>54993</v>
      </c>
      <c r="Q21" s="32">
        <f>[4]SFY21_WIOA_Allocations!G17*0.9+1</f>
        <v>274426.3</v>
      </c>
      <c r="R21" s="32">
        <f t="shared" si="8"/>
        <v>329419.3</v>
      </c>
    </row>
    <row r="22" spans="2:19" ht="12.75" customHeight="1" thickBot="1" x14ac:dyDescent="0.25">
      <c r="C22" s="56">
        <f>SUM(C18:C21)</f>
        <v>735667.6</v>
      </c>
      <c r="D22" s="45">
        <f>SUM(D18:D21)</f>
        <v>544735.41255711229</v>
      </c>
      <c r="E22" s="8">
        <f t="shared" si="7"/>
        <v>190932.18744288769</v>
      </c>
      <c r="F22" s="9">
        <f>-1+(C22/D22)</f>
        <v>0.35050445232963368</v>
      </c>
      <c r="H22" s="45">
        <f>SUM(H18:H21)</f>
        <v>453072.91070602159</v>
      </c>
      <c r="I22" s="45">
        <f t="shared" ref="I22:N22" si="9">SUM(I18:I21)</f>
        <v>416606</v>
      </c>
      <c r="J22" s="45">
        <f t="shared" si="9"/>
        <v>269314</v>
      </c>
      <c r="K22" s="45">
        <f t="shared" si="9"/>
        <v>241461</v>
      </c>
      <c r="L22" s="11">
        <f t="shared" si="9"/>
        <v>217186</v>
      </c>
      <c r="M22" s="11">
        <f t="shared" si="9"/>
        <v>218557</v>
      </c>
      <c r="N22" s="26">
        <f t="shared" si="9"/>
        <v>254065</v>
      </c>
      <c r="P22" s="120">
        <f>SUM(P18:P21)+0.5</f>
        <v>122814.8</v>
      </c>
      <c r="Q22" s="121">
        <f>SUM(Q18:Q21)</f>
        <v>612853.30000000005</v>
      </c>
      <c r="R22" s="120">
        <f>SUM(R18:R21)</f>
        <v>735667.6</v>
      </c>
    </row>
    <row r="23" spans="2:19" ht="12.75" customHeight="1" x14ac:dyDescent="0.2">
      <c r="C23" s="32">
        <f>+C22+C13</f>
        <v>817408.5</v>
      </c>
      <c r="D23" s="13">
        <f>'Scott 5-29-19'!G11</f>
        <v>605261.56950790249</v>
      </c>
      <c r="E23" s="13">
        <f t="shared" si="7"/>
        <v>212146.93049209751</v>
      </c>
      <c r="F23" s="14"/>
      <c r="H23" s="13"/>
      <c r="I23" s="13"/>
      <c r="J23" s="13"/>
      <c r="K23" s="13"/>
      <c r="L23" s="13"/>
      <c r="M23" s="13"/>
      <c r="P23" s="32"/>
      <c r="Q23" s="107"/>
      <c r="R23" s="32"/>
    </row>
    <row r="24" spans="2:19" ht="12.75" customHeight="1" x14ac:dyDescent="0.2">
      <c r="C24" s="32"/>
      <c r="K24" s="32"/>
    </row>
    <row r="25" spans="2:19" ht="18.75" customHeight="1" thickBot="1" x14ac:dyDescent="0.3">
      <c r="B25" s="7" t="s">
        <v>69</v>
      </c>
      <c r="K25" s="32"/>
    </row>
    <row r="26" spans="2:19" ht="40.5" customHeight="1" thickBot="1" x14ac:dyDescent="0.3">
      <c r="B26" s="18" t="s">
        <v>3</v>
      </c>
      <c r="C26" s="43" t="s">
        <v>133</v>
      </c>
      <c r="D26" s="43" t="str">
        <f>D7</f>
        <v>PY19 &amp; FY20 Actual</v>
      </c>
      <c r="E26" s="24" t="s">
        <v>24</v>
      </c>
      <c r="F26" s="24" t="s">
        <v>23</v>
      </c>
      <c r="H26" s="43" t="str">
        <f>H7</f>
        <v>PY18 &amp; FY19 Actual</v>
      </c>
      <c r="I26" s="43" t="str">
        <f>I7</f>
        <v>PY17 &amp; FY18 Actual</v>
      </c>
      <c r="J26" s="43" t="s">
        <v>38</v>
      </c>
      <c r="K26" s="47" t="s">
        <v>37</v>
      </c>
      <c r="L26" s="42" t="s">
        <v>31</v>
      </c>
      <c r="M26" s="42" t="s">
        <v>34</v>
      </c>
      <c r="N26" s="42" t="s">
        <v>35</v>
      </c>
      <c r="P26" s="37" t="str">
        <f>P7</f>
        <v>PY20</v>
      </c>
      <c r="Q26" s="102" t="str">
        <f>Q7</f>
        <v>FY21</v>
      </c>
      <c r="R26" s="35" t="s">
        <v>87</v>
      </c>
    </row>
    <row r="27" spans="2:19" ht="12.75" customHeight="1" x14ac:dyDescent="0.2">
      <c r="B27" s="2" t="s">
        <v>7</v>
      </c>
      <c r="C27" s="55">
        <f t="shared" ref="C27:C31" si="10">P27+Q27</f>
        <v>9583.84</v>
      </c>
      <c r="D27" s="45">
        <v>7669.385815403326</v>
      </c>
      <c r="E27" s="8">
        <f t="shared" ref="E27:E32" si="11">C27-D27</f>
        <v>1914.4541845966742</v>
      </c>
      <c r="F27" s="9">
        <f t="shared" ref="F27:F32" si="12">-1+(C27/D27)</f>
        <v>0.24962288124189191</v>
      </c>
      <c r="H27" s="45">
        <v>7554.1480692834621</v>
      </c>
      <c r="I27" s="45">
        <v>8622.4279999999999</v>
      </c>
      <c r="J27" s="45">
        <v>6979.96</v>
      </c>
      <c r="K27" s="31">
        <v>6776.4679999999998</v>
      </c>
      <c r="L27" s="8">
        <v>5304.4</v>
      </c>
      <c r="M27" s="8">
        <v>4807.5999999999995</v>
      </c>
      <c r="N27" s="25">
        <v>1270</v>
      </c>
      <c r="P27" s="32">
        <f>[4]SFY21_WIOA_Allocations!I14*0.04</f>
        <v>1750.1200000000001</v>
      </c>
      <c r="Q27" s="32">
        <f>[4]SFY21_WIOA_Allocations!J14*0.04</f>
        <v>7833.72</v>
      </c>
      <c r="R27" s="32">
        <f>P27+Q27</f>
        <v>9583.84</v>
      </c>
    </row>
    <row r="28" spans="2:19" ht="12.75" customHeight="1" x14ac:dyDescent="0.2">
      <c r="B28" s="2" t="s">
        <v>8</v>
      </c>
      <c r="C28" s="55">
        <f t="shared" si="10"/>
        <v>3880.56</v>
      </c>
      <c r="D28" s="45">
        <v>3757.5165682195448</v>
      </c>
      <c r="E28" s="8">
        <f t="shared" si="11"/>
        <v>123.04343178045519</v>
      </c>
      <c r="F28" s="9">
        <f t="shared" si="12"/>
        <v>3.2745945239772478E-2</v>
      </c>
      <c r="H28" s="45">
        <v>3908.0299431410194</v>
      </c>
      <c r="I28" s="45">
        <v>3691.6480000000001</v>
      </c>
      <c r="J28" s="45">
        <v>3044.95</v>
      </c>
      <c r="K28" s="31">
        <v>2736.0960000000005</v>
      </c>
      <c r="L28" s="8">
        <v>2617.1999999999998</v>
      </c>
      <c r="M28" s="8">
        <v>1628.8</v>
      </c>
      <c r="N28" s="25">
        <v>1837</v>
      </c>
      <c r="P28" s="32">
        <f>[4]SFY21_WIOA_Allocations!I15*0.04</f>
        <v>708.64</v>
      </c>
      <c r="Q28" s="32">
        <f>[4]SFY21_WIOA_Allocations!J15*0.04</f>
        <v>3171.92</v>
      </c>
      <c r="R28" s="32">
        <f t="shared" ref="R28:R31" si="13">P28+Q28</f>
        <v>3880.56</v>
      </c>
    </row>
    <row r="29" spans="2:19" ht="12.75" customHeight="1" x14ac:dyDescent="0.2">
      <c r="B29" s="2" t="s">
        <v>9</v>
      </c>
      <c r="C29" s="55">
        <f t="shared" si="10"/>
        <v>4412.12</v>
      </c>
      <c r="D29" s="45">
        <v>3767.2592348762428</v>
      </c>
      <c r="E29" s="8">
        <f t="shared" si="11"/>
        <v>644.86076512375712</v>
      </c>
      <c r="F29" s="9">
        <f t="shared" si="12"/>
        <v>0.17117504395604488</v>
      </c>
      <c r="H29" s="45">
        <v>3338.778648922264</v>
      </c>
      <c r="I29" s="45">
        <v>3056.2640000000001</v>
      </c>
      <c r="J29" s="45">
        <v>2332.54</v>
      </c>
      <c r="K29" s="31">
        <v>2299.6760000000004</v>
      </c>
      <c r="L29" s="8">
        <v>2155.6</v>
      </c>
      <c r="M29" s="8">
        <v>1252.4000000000001</v>
      </c>
      <c r="N29" s="25">
        <v>1452</v>
      </c>
      <c r="P29" s="32">
        <f>[4]SFY21_WIOA_Allocations!I16*0.04</f>
        <v>805.68000000000006</v>
      </c>
      <c r="Q29" s="32">
        <f>[4]SFY21_WIOA_Allocations!J16*0.04</f>
        <v>3606.44</v>
      </c>
      <c r="R29" s="32">
        <f t="shared" si="13"/>
        <v>4412.12</v>
      </c>
    </row>
    <row r="30" spans="2:19" ht="12.75" customHeight="1" x14ac:dyDescent="0.2">
      <c r="B30" s="2" t="s">
        <v>10</v>
      </c>
      <c r="C30" s="55">
        <f t="shared" si="10"/>
        <v>8396.2000000000007</v>
      </c>
      <c r="D30" s="45">
        <v>9035.5374379610457</v>
      </c>
      <c r="E30" s="8">
        <f t="shared" si="11"/>
        <v>-639.337437961045</v>
      </c>
      <c r="F30" s="9">
        <f t="shared" si="12"/>
        <v>-7.0758097384998275E-2</v>
      </c>
      <c r="H30" s="45">
        <v>9824.8361513837026</v>
      </c>
      <c r="I30" s="45">
        <v>7702.5</v>
      </c>
      <c r="J30" s="45">
        <v>6123.6900000000005</v>
      </c>
      <c r="K30" s="31">
        <v>5968.1600000000008</v>
      </c>
      <c r="L30" s="8">
        <v>4754</v>
      </c>
      <c r="M30" s="8">
        <v>2608</v>
      </c>
      <c r="N30" s="25">
        <v>4537</v>
      </c>
      <c r="P30" s="32">
        <f>[4]SFY21_WIOA_Allocations!I17*0.04</f>
        <v>1533.24</v>
      </c>
      <c r="Q30" s="32">
        <f>[4]SFY21_WIOA_Allocations!J17*0.04</f>
        <v>6862.96</v>
      </c>
      <c r="R30" s="32">
        <f t="shared" si="13"/>
        <v>8396.2000000000007</v>
      </c>
    </row>
    <row r="31" spans="2:19" ht="12.75" customHeight="1" thickBot="1" x14ac:dyDescent="0.25">
      <c r="B31" s="2" t="s">
        <v>11</v>
      </c>
      <c r="C31" s="55">
        <f t="shared" si="10"/>
        <v>39409.079999999994</v>
      </c>
      <c r="D31" s="45">
        <v>36344.548584690237</v>
      </c>
      <c r="E31" s="8">
        <f t="shared" si="11"/>
        <v>3064.531415309757</v>
      </c>
      <c r="F31" s="9">
        <f t="shared" si="12"/>
        <v>8.4318874071823258E-2</v>
      </c>
      <c r="H31" s="45">
        <v>36938.689219095671</v>
      </c>
      <c r="I31" s="45">
        <v>34610.160000000003</v>
      </c>
      <c r="J31" s="45">
        <v>27718.86</v>
      </c>
      <c r="K31" s="31">
        <v>26670.6</v>
      </c>
      <c r="L31" s="8">
        <v>22249.8</v>
      </c>
      <c r="M31" s="8">
        <v>15445.2</v>
      </c>
      <c r="N31" s="25">
        <v>13644</v>
      </c>
      <c r="P31" s="32">
        <f>[4]SFY21_WIOA_Allocations!I18*0.06</f>
        <v>7196.5199999999995</v>
      </c>
      <c r="Q31" s="32">
        <f>[4]SFY21_WIOA_Allocations!J18*0.06</f>
        <v>32212.559999999998</v>
      </c>
      <c r="R31" s="32">
        <f t="shared" si="13"/>
        <v>39409.079999999994</v>
      </c>
      <c r="S31" s="32">
        <f>R31-P32</f>
        <v>27414.879999999994</v>
      </c>
    </row>
    <row r="32" spans="2:19" ht="12.75" customHeight="1" thickBot="1" x14ac:dyDescent="0.25">
      <c r="C32" s="56">
        <f>SUM(C27:C31)</f>
        <v>65681.799999999988</v>
      </c>
      <c r="D32" s="45">
        <f>SUM(D27:D31)</f>
        <v>60574.247641150396</v>
      </c>
      <c r="E32" s="8">
        <f t="shared" si="11"/>
        <v>5107.5523588495926</v>
      </c>
      <c r="F32" s="9">
        <f t="shared" si="12"/>
        <v>8.4318874071823258E-2</v>
      </c>
      <c r="H32" s="45">
        <f>SUM(H27:H31)</f>
        <v>61564.482031826119</v>
      </c>
      <c r="I32" s="45">
        <f t="shared" ref="I32:N32" si="14">SUM(I27:I31)</f>
        <v>57683</v>
      </c>
      <c r="J32" s="45">
        <f t="shared" si="14"/>
        <v>46200</v>
      </c>
      <c r="K32" s="31">
        <f t="shared" si="14"/>
        <v>44451</v>
      </c>
      <c r="L32" s="11">
        <f t="shared" si="14"/>
        <v>37081</v>
      </c>
      <c r="M32" s="11">
        <f t="shared" si="14"/>
        <v>25742</v>
      </c>
      <c r="N32" s="26">
        <f t="shared" si="14"/>
        <v>22740</v>
      </c>
      <c r="P32" s="118">
        <f t="shared" ref="P32:Q32" si="15">SUM(P27:P31)</f>
        <v>11994.2</v>
      </c>
      <c r="Q32" s="119">
        <f t="shared" si="15"/>
        <v>53687.6</v>
      </c>
      <c r="R32" s="118">
        <f>SUM(R27:R31)</f>
        <v>65681.799999999988</v>
      </c>
    </row>
    <row r="33" spans="2:19" ht="12.75" customHeight="1" x14ac:dyDescent="0.2">
      <c r="C33" s="32"/>
      <c r="E33" s="13"/>
      <c r="F33" s="14"/>
      <c r="K33" s="32"/>
      <c r="L33" s="13"/>
      <c r="M33" s="13"/>
      <c r="P33" s="32"/>
      <c r="Q33" s="107"/>
      <c r="R33" s="32">
        <f>'Scott 5-29-19'!L11*0.1</f>
        <v>60574.247641150403</v>
      </c>
    </row>
    <row r="34" spans="2:19" ht="12.75" customHeight="1" x14ac:dyDescent="0.2">
      <c r="C34" s="32"/>
      <c r="E34" s="13"/>
      <c r="F34" s="14"/>
      <c r="K34" s="32"/>
      <c r="L34" s="13"/>
      <c r="M34" s="13"/>
      <c r="P34" s="96"/>
    </row>
    <row r="35" spans="2:19" ht="18" customHeight="1" thickBot="1" x14ac:dyDescent="0.3">
      <c r="B35" s="7" t="s">
        <v>18</v>
      </c>
      <c r="K35" s="32"/>
    </row>
    <row r="36" spans="2:19" ht="40.5" customHeight="1" thickBot="1" x14ac:dyDescent="0.3">
      <c r="B36" s="18" t="s">
        <v>3</v>
      </c>
      <c r="C36" s="43" t="s">
        <v>133</v>
      </c>
      <c r="D36" s="43" t="str">
        <f>D7</f>
        <v>PY19 &amp; FY20 Actual</v>
      </c>
      <c r="E36" s="24" t="s">
        <v>24</v>
      </c>
      <c r="F36" s="24" t="s">
        <v>23</v>
      </c>
      <c r="H36" s="43" t="str">
        <f>H7</f>
        <v>PY18 &amp; FY19 Actual</v>
      </c>
      <c r="I36" s="43" t="str">
        <f>I7</f>
        <v>PY17 &amp; FY18 Actual</v>
      </c>
      <c r="J36" s="43" t="s">
        <v>38</v>
      </c>
      <c r="K36" s="47" t="s">
        <v>37</v>
      </c>
      <c r="L36" s="42" t="s">
        <v>31</v>
      </c>
      <c r="M36" s="42" t="s">
        <v>34</v>
      </c>
      <c r="N36" s="42" t="s">
        <v>35</v>
      </c>
      <c r="P36" s="37" t="str">
        <f>P26</f>
        <v>PY20</v>
      </c>
      <c r="Q36" s="102" t="str">
        <f>Q26</f>
        <v>FY21</v>
      </c>
      <c r="R36" s="35" t="s">
        <v>87</v>
      </c>
    </row>
    <row r="37" spans="2:19" ht="12.75" customHeight="1" x14ac:dyDescent="0.2">
      <c r="B37" s="2" t="s">
        <v>7</v>
      </c>
      <c r="C37" s="55">
        <f t="shared" ref="C37:C40" si="16">P37+Q37</f>
        <v>215636.40000000002</v>
      </c>
      <c r="D37" s="45">
        <v>172561.18084657483</v>
      </c>
      <c r="E37" s="8">
        <f>C37-D37</f>
        <v>43075.219153425191</v>
      </c>
      <c r="F37" s="9">
        <f>-1+(C37/D37)</f>
        <v>0.24962288124189191</v>
      </c>
      <c r="H37" s="45">
        <v>169968.33155887789</v>
      </c>
      <c r="I37" s="45">
        <v>194000.71000000002</v>
      </c>
      <c r="J37" s="45">
        <v>157036.51</v>
      </c>
      <c r="K37" s="31">
        <v>152464.54999999999</v>
      </c>
      <c r="L37" s="8">
        <v>119359</v>
      </c>
      <c r="M37" s="8">
        <v>108168</v>
      </c>
      <c r="N37" s="25">
        <v>28583</v>
      </c>
      <c r="P37" s="32">
        <f>[4]SFY21_WIOA_Allocations!I14*0.9</f>
        <v>39377.700000000004</v>
      </c>
      <c r="Q37" s="32">
        <f>[4]SFY21_WIOA_Allocations!J14*0.9</f>
        <v>176258.7</v>
      </c>
      <c r="R37" s="32">
        <f>P37+Q37</f>
        <v>215636.40000000002</v>
      </c>
    </row>
    <row r="38" spans="2:19" ht="12.75" customHeight="1" x14ac:dyDescent="0.2">
      <c r="B38" s="2" t="s">
        <v>8</v>
      </c>
      <c r="C38" s="55">
        <f t="shared" si="16"/>
        <v>87312.599999999991</v>
      </c>
      <c r="D38" s="45">
        <v>84544.122784939755</v>
      </c>
      <c r="E38" s="8">
        <f>C38-D38</f>
        <v>2768.4772150602366</v>
      </c>
      <c r="F38" s="9">
        <f>-1+(C38/D38)</f>
        <v>3.2745945239772478E-2</v>
      </c>
      <c r="H38" s="45">
        <v>87930.67372067293</v>
      </c>
      <c r="I38" s="45">
        <v>83063.359999999986</v>
      </c>
      <c r="J38" s="45">
        <v>68508.66</v>
      </c>
      <c r="K38" s="31">
        <v>61567.9</v>
      </c>
      <c r="L38" s="8">
        <v>58892</v>
      </c>
      <c r="M38" s="8">
        <v>36638</v>
      </c>
      <c r="N38" s="25">
        <v>41330</v>
      </c>
      <c r="P38" s="32">
        <f>[4]SFY21_WIOA_Allocations!I15*0.9</f>
        <v>15944.4</v>
      </c>
      <c r="Q38" s="32">
        <f>[4]SFY21_WIOA_Allocations!J15*0.9</f>
        <v>71368.2</v>
      </c>
      <c r="R38" s="32">
        <f t="shared" ref="R38:R40" si="17">P38+Q38</f>
        <v>87312.599999999991</v>
      </c>
    </row>
    <row r="39" spans="2:19" ht="12.75" customHeight="1" x14ac:dyDescent="0.2">
      <c r="B39" s="2" t="s">
        <v>9</v>
      </c>
      <c r="C39" s="55">
        <f t="shared" si="16"/>
        <v>99272.700000000012</v>
      </c>
      <c r="D39" s="45">
        <v>84763.332784715458</v>
      </c>
      <c r="E39" s="8">
        <f>C39-D39</f>
        <v>14509.367215284554</v>
      </c>
      <c r="F39" s="9">
        <f>-1+(C39/D39)</f>
        <v>0.1711750439560451</v>
      </c>
      <c r="H39" s="45">
        <v>75122.519600750951</v>
      </c>
      <c r="I39" s="45">
        <v>68763.22</v>
      </c>
      <c r="J39" s="45">
        <v>52464.71</v>
      </c>
      <c r="K39" s="31">
        <v>51740.75</v>
      </c>
      <c r="L39" s="8">
        <v>48509</v>
      </c>
      <c r="M39" s="8">
        <v>28172</v>
      </c>
      <c r="N39" s="25">
        <v>32670</v>
      </c>
      <c r="P39" s="32">
        <f>[4]SFY21_WIOA_Allocations!I16*0.9</f>
        <v>18127.8</v>
      </c>
      <c r="Q39" s="32">
        <f>[4]SFY21_WIOA_Allocations!J16*0.9</f>
        <v>81144.900000000009</v>
      </c>
      <c r="R39" s="32">
        <f t="shared" si="17"/>
        <v>99272.700000000012</v>
      </c>
    </row>
    <row r="40" spans="2:19" ht="12.75" customHeight="1" thickBot="1" x14ac:dyDescent="0.25">
      <c r="B40" s="2" t="s">
        <v>10</v>
      </c>
      <c r="C40" s="55">
        <f t="shared" si="16"/>
        <v>188914</v>
      </c>
      <c r="D40" s="45">
        <v>203299.59235412348</v>
      </c>
      <c r="E40" s="46">
        <f>C40-D40</f>
        <v>-14385.592354123481</v>
      </c>
      <c r="F40" s="9">
        <f>-1+(C40/D40)</f>
        <v>-7.0760556809506547E-2</v>
      </c>
      <c r="H40" s="45">
        <v>221058.8134061333</v>
      </c>
      <c r="I40" s="45">
        <v>173301.71</v>
      </c>
      <c r="J40" s="45">
        <v>137771.12</v>
      </c>
      <c r="K40" s="50">
        <v>134289.79999999999</v>
      </c>
      <c r="L40" s="8">
        <v>106973</v>
      </c>
      <c r="M40" s="8">
        <v>58678</v>
      </c>
      <c r="N40" s="25">
        <v>102070</v>
      </c>
      <c r="P40" s="32">
        <f>[4]SFY21_WIOA_Allocations!I17*0.9-0.5</f>
        <v>34497.4</v>
      </c>
      <c r="Q40" s="32">
        <f>[4]SFY21_WIOA_Allocations!J17*0.9</f>
        <v>154416.6</v>
      </c>
      <c r="R40" s="32">
        <f t="shared" si="17"/>
        <v>188914</v>
      </c>
    </row>
    <row r="41" spans="2:19" ht="12.75" customHeight="1" thickBot="1" x14ac:dyDescent="0.25">
      <c r="C41" s="56">
        <f>SUM(C37:C40)</f>
        <v>591135.69999999995</v>
      </c>
      <c r="D41" s="45">
        <f>SUM(D37:D40)</f>
        <v>545168.2287703536</v>
      </c>
      <c r="E41" s="45">
        <f t="shared" ref="E41" si="18">SUM(E37:E40)</f>
        <v>45967.4712296465</v>
      </c>
      <c r="F41" s="39">
        <f>-1+(C41/D41)</f>
        <v>8.4317956923732673E-2</v>
      </c>
      <c r="H41" s="45">
        <f>SUM(H37:H40)</f>
        <v>554080.33828643512</v>
      </c>
      <c r="I41" s="45">
        <f>SUM(I37:I40)</f>
        <v>519129</v>
      </c>
      <c r="J41" s="45">
        <f>SUM(J37:J40)</f>
        <v>415781</v>
      </c>
      <c r="K41" s="31">
        <f t="shared" ref="K41" si="19">SUM(K37:K40)</f>
        <v>400062.99999999994</v>
      </c>
      <c r="L41" s="11">
        <f>SUM(L37:L40)</f>
        <v>333733</v>
      </c>
      <c r="M41" s="11">
        <f>SUM(M37:M40)</f>
        <v>231656</v>
      </c>
      <c r="N41" s="26">
        <f>SUM(N37:N40)</f>
        <v>204653</v>
      </c>
      <c r="P41" s="120">
        <f>SUM(P37:P40)</f>
        <v>107947.30000000002</v>
      </c>
      <c r="Q41" s="121">
        <f>SUM(Q37:Q40)+1</f>
        <v>483189.4</v>
      </c>
      <c r="R41" s="120">
        <f>SUM(R37:R40)</f>
        <v>591135.69999999995</v>
      </c>
    </row>
    <row r="42" spans="2:19" ht="12.75" customHeight="1" x14ac:dyDescent="0.2">
      <c r="C42" s="32">
        <f>C41+C32</f>
        <v>656817.5</v>
      </c>
      <c r="D42" s="13">
        <f>'Scott 5-29-19'!L11</f>
        <v>605742.47641150397</v>
      </c>
      <c r="E42" s="13"/>
      <c r="F42" s="14"/>
      <c r="H42" s="13"/>
      <c r="I42" s="13"/>
      <c r="J42" s="13"/>
      <c r="K42" s="32"/>
      <c r="L42" s="13"/>
      <c r="M42" s="13"/>
      <c r="P42" s="32"/>
      <c r="Q42" s="107"/>
      <c r="R42" s="32">
        <f>'Scott 5-29-19'!L11*0.9</f>
        <v>545168.2287703536</v>
      </c>
    </row>
    <row r="43" spans="2:19" ht="12.75" customHeight="1" x14ac:dyDescent="0.2">
      <c r="C43" s="32"/>
      <c r="K43" s="32"/>
    </row>
    <row r="44" spans="2:19" ht="12.75" hidden="1" customHeight="1" x14ac:dyDescent="0.2">
      <c r="C44" s="32"/>
      <c r="K44" s="32"/>
    </row>
    <row r="45" spans="2:19" ht="12.75" hidden="1" customHeight="1" x14ac:dyDescent="0.2">
      <c r="C45" s="32"/>
      <c r="K45" s="32"/>
    </row>
    <row r="46" spans="2:19" ht="17.25" customHeight="1" x14ac:dyDescent="0.25">
      <c r="B46" s="7" t="s">
        <v>70</v>
      </c>
      <c r="C46" s="32"/>
      <c r="K46" s="32"/>
    </row>
    <row r="47" spans="2:19" ht="12.75" customHeight="1" x14ac:dyDescent="0.2">
      <c r="B47" s="18" t="s">
        <v>3</v>
      </c>
      <c r="C47" s="51" t="s">
        <v>134</v>
      </c>
      <c r="D47" s="51" t="s">
        <v>111</v>
      </c>
      <c r="E47" s="24" t="s">
        <v>24</v>
      </c>
      <c r="F47" s="24" t="s">
        <v>23</v>
      </c>
      <c r="H47" s="51" t="s">
        <v>135</v>
      </c>
      <c r="I47" s="51" t="s">
        <v>43</v>
      </c>
      <c r="J47" s="51" t="s">
        <v>36</v>
      </c>
      <c r="K47" s="51" t="s">
        <v>136</v>
      </c>
      <c r="L47" s="36" t="s">
        <v>137</v>
      </c>
      <c r="M47" s="36" t="s">
        <v>138</v>
      </c>
      <c r="N47" s="33" t="s">
        <v>21</v>
      </c>
      <c r="Q47" s="107"/>
    </row>
    <row r="48" spans="2:19" ht="12.75" customHeight="1" x14ac:dyDescent="0.2">
      <c r="B48" s="2" t="s">
        <v>7</v>
      </c>
      <c r="C48" s="30">
        <f>[4]SFY21_WIOA_Allocations!C14*0.04</f>
        <v>7997.72</v>
      </c>
      <c r="D48" s="30">
        <v>4921.2379251626808</v>
      </c>
      <c r="E48" s="8">
        <f t="shared" ref="E48:E53" si="20">C48-D48</f>
        <v>3076.4820748373195</v>
      </c>
      <c r="F48" s="9">
        <f t="shared" ref="F48:F53" si="21">-1+(C48/D48)</f>
        <v>0.62514394175234278</v>
      </c>
      <c r="H48" s="30">
        <v>3853.2622609954697</v>
      </c>
      <c r="I48" s="30">
        <v>4253.3999999999996</v>
      </c>
      <c r="J48" s="30">
        <v>2799.01</v>
      </c>
      <c r="K48" s="30">
        <v>2190.2959999999998</v>
      </c>
      <c r="L48" s="8">
        <v>1442.6440000000002</v>
      </c>
      <c r="M48" s="8">
        <v>1293.8320000000001</v>
      </c>
      <c r="N48" s="29">
        <v>2036</v>
      </c>
      <c r="Q48" s="107"/>
      <c r="S48" s="96"/>
    </row>
    <row r="49" spans="2:19" ht="12.75" customHeight="1" x14ac:dyDescent="0.2">
      <c r="B49" s="2" t="s">
        <v>8</v>
      </c>
      <c r="C49" s="30">
        <f>[4]SFY21_WIOA_Allocations!C15*0.04</f>
        <v>5278.68</v>
      </c>
      <c r="D49" s="30">
        <v>3940.7546689156206</v>
      </c>
      <c r="E49" s="8">
        <f t="shared" si="20"/>
        <v>1337.9253310843796</v>
      </c>
      <c r="F49" s="9">
        <f t="shared" si="21"/>
        <v>0.3395099272831763</v>
      </c>
      <c r="H49" s="30">
        <v>3248.1932610225649</v>
      </c>
      <c r="I49" s="30">
        <v>3147.7200000000003</v>
      </c>
      <c r="J49" s="30">
        <v>2080.59</v>
      </c>
      <c r="K49" s="30">
        <v>1943.5160000000001</v>
      </c>
      <c r="L49" s="8">
        <v>1759.3200000000002</v>
      </c>
      <c r="M49" s="8">
        <v>1737.36</v>
      </c>
      <c r="N49" s="30">
        <v>2688</v>
      </c>
      <c r="Q49" s="107"/>
      <c r="S49" s="96"/>
    </row>
    <row r="50" spans="2:19" ht="12.75" customHeight="1" x14ac:dyDescent="0.2">
      <c r="B50" s="2" t="s">
        <v>9</v>
      </c>
      <c r="C50" s="30">
        <f>[4]SFY21_WIOA_Allocations!C16*0.04</f>
        <v>5019.5600000000004</v>
      </c>
      <c r="D50" s="30">
        <v>3371.3087341660712</v>
      </c>
      <c r="E50" s="8">
        <f t="shared" si="20"/>
        <v>1648.2512658339292</v>
      </c>
      <c r="F50" s="9">
        <f t="shared" si="21"/>
        <v>0.48890546544430968</v>
      </c>
      <c r="H50" s="30">
        <v>2636.2756834755978</v>
      </c>
      <c r="I50" s="30">
        <v>2567.08</v>
      </c>
      <c r="J50" s="30">
        <v>1596.86</v>
      </c>
      <c r="K50" s="30">
        <v>1481.4960000000001</v>
      </c>
      <c r="L50" s="8">
        <v>1488.2280000000001</v>
      </c>
      <c r="M50" s="8">
        <v>1584.924</v>
      </c>
      <c r="N50" s="30">
        <v>1915</v>
      </c>
      <c r="Q50" s="107"/>
      <c r="S50" s="96"/>
    </row>
    <row r="51" spans="2:19" ht="12.75" customHeight="1" x14ac:dyDescent="0.2">
      <c r="B51" s="2" t="s">
        <v>10</v>
      </c>
      <c r="C51" s="30">
        <f>[4]SFY21_WIOA_Allocations!C17*0.04</f>
        <v>15374.48</v>
      </c>
      <c r="D51" s="30">
        <v>12433.9576300176</v>
      </c>
      <c r="E51" s="8">
        <f t="shared" si="20"/>
        <v>2940.5223699824001</v>
      </c>
      <c r="F51" s="9">
        <f t="shared" si="21"/>
        <v>0.23649126508871965</v>
      </c>
      <c r="H51" s="30">
        <v>10775.808739940587</v>
      </c>
      <c r="I51" s="30">
        <v>8923.56</v>
      </c>
      <c r="J51" s="30">
        <v>5418.14</v>
      </c>
      <c r="K51" s="30">
        <v>4796.2920000000004</v>
      </c>
      <c r="L51" s="8">
        <v>4646.2080000000005</v>
      </c>
      <c r="M51" s="8">
        <v>5179.0839999999998</v>
      </c>
      <c r="N51" s="30">
        <v>5158</v>
      </c>
      <c r="S51" s="96"/>
    </row>
    <row r="52" spans="2:19" ht="12.75" customHeight="1" thickBot="1" x14ac:dyDescent="0.25">
      <c r="B52" s="2" t="s">
        <v>11</v>
      </c>
      <c r="C52" s="30">
        <f>[4]SFY21_WIOA_Allocations!C18*0.06</f>
        <v>50505.659999999996</v>
      </c>
      <c r="D52" s="30">
        <v>37000.888437392954</v>
      </c>
      <c r="E52" s="8">
        <f t="shared" si="20"/>
        <v>13504.771562607042</v>
      </c>
      <c r="F52" s="9">
        <f t="shared" si="21"/>
        <v>0.36498506206027126</v>
      </c>
      <c r="H52" s="52">
        <v>30770.309918151328</v>
      </c>
      <c r="I52" s="52">
        <v>28337.239999999998</v>
      </c>
      <c r="J52" s="30">
        <v>17843.399999999998</v>
      </c>
      <c r="K52" s="52">
        <v>15617.4</v>
      </c>
      <c r="L52" s="8">
        <v>14004.6</v>
      </c>
      <c r="M52" s="8">
        <v>14692.8</v>
      </c>
      <c r="N52" s="30">
        <v>17696</v>
      </c>
      <c r="S52" s="96"/>
    </row>
    <row r="53" spans="2:19" ht="12.75" customHeight="1" thickBot="1" x14ac:dyDescent="0.25">
      <c r="C53" s="56">
        <f>SUM(C48:C52)</f>
        <v>84176.1</v>
      </c>
      <c r="D53" s="11">
        <f>SUM(D48:D52)</f>
        <v>61668.147395654923</v>
      </c>
      <c r="E53" s="11">
        <f t="shared" si="20"/>
        <v>22507.952604345082</v>
      </c>
      <c r="F53" s="9">
        <f t="shared" si="21"/>
        <v>0.36498506206027148</v>
      </c>
      <c r="H53" s="45">
        <f t="shared" ref="H53:M53" si="22">SUM(H48:H52)</f>
        <v>51283.84986358555</v>
      </c>
      <c r="I53" s="31">
        <f t="shared" si="22"/>
        <v>47229</v>
      </c>
      <c r="J53" s="11">
        <f t="shared" si="22"/>
        <v>29738</v>
      </c>
      <c r="K53" s="31">
        <f t="shared" si="22"/>
        <v>26029</v>
      </c>
      <c r="L53" s="11">
        <f t="shared" si="22"/>
        <v>23341</v>
      </c>
      <c r="M53" s="11">
        <f t="shared" si="22"/>
        <v>24488</v>
      </c>
      <c r="N53" s="31">
        <v>29493</v>
      </c>
      <c r="S53" s="96">
        <f>C53-C52</f>
        <v>33670.44000000001</v>
      </c>
    </row>
    <row r="54" spans="2:19" ht="12.75" customHeight="1" x14ac:dyDescent="0.2">
      <c r="C54" s="32"/>
      <c r="D54" s="32"/>
      <c r="H54" s="32"/>
      <c r="I54" s="32"/>
      <c r="J54" s="32"/>
      <c r="K54" s="32"/>
      <c r="N54" s="32"/>
    </row>
    <row r="55" spans="2:19" ht="12.75" customHeight="1" x14ac:dyDescent="0.2">
      <c r="C55" s="32"/>
      <c r="D55" s="32"/>
      <c r="H55" s="32"/>
      <c r="I55" s="32"/>
      <c r="J55" s="32"/>
      <c r="K55" s="32"/>
      <c r="N55" s="32"/>
    </row>
    <row r="56" spans="2:19" ht="12.75" customHeight="1" x14ac:dyDescent="0.25">
      <c r="B56" s="7" t="s">
        <v>71</v>
      </c>
      <c r="C56" s="32"/>
      <c r="D56" s="32"/>
      <c r="H56" s="32"/>
      <c r="I56" s="32"/>
      <c r="J56" s="32"/>
      <c r="K56" s="32"/>
      <c r="N56" s="32"/>
    </row>
    <row r="57" spans="2:19" ht="12.75" customHeight="1" x14ac:dyDescent="0.2">
      <c r="B57" s="18" t="s">
        <v>3</v>
      </c>
      <c r="C57" s="51" t="str">
        <f>C47</f>
        <v>PY 20</v>
      </c>
      <c r="D57" s="51" t="str">
        <f>D47</f>
        <v xml:space="preserve">PY19 </v>
      </c>
      <c r="E57" s="24" t="s">
        <v>24</v>
      </c>
      <c r="F57" s="24" t="s">
        <v>23</v>
      </c>
      <c r="H57" s="51" t="str">
        <f t="shared" ref="H57:M57" si="23">H47</f>
        <v xml:space="preserve">PY18 </v>
      </c>
      <c r="I57" s="51" t="str">
        <f t="shared" si="23"/>
        <v>PY17 Final</v>
      </c>
      <c r="J57" s="51" t="str">
        <f t="shared" si="23"/>
        <v>PY16 Final</v>
      </c>
      <c r="K57" s="51" t="str">
        <f t="shared" si="23"/>
        <v xml:space="preserve">PY15 </v>
      </c>
      <c r="L57" s="28" t="str">
        <f t="shared" si="23"/>
        <v>PY14</v>
      </c>
      <c r="M57" s="36" t="str">
        <f t="shared" si="23"/>
        <v>PY13</v>
      </c>
      <c r="N57" s="33" t="s">
        <v>21</v>
      </c>
    </row>
    <row r="58" spans="2:19" ht="12.75" customHeight="1" x14ac:dyDescent="0.2">
      <c r="B58" s="2" t="s">
        <v>7</v>
      </c>
      <c r="C58" s="30">
        <f>[4]SFY21_WIOA_Allocations!C14*0.9</f>
        <v>179948.7</v>
      </c>
      <c r="D58" s="30">
        <v>110727.85331616033</v>
      </c>
      <c r="E58" s="8">
        <f>C58-D58</f>
        <v>69220.846683839685</v>
      </c>
      <c r="F58" s="9">
        <f>-1+(C58/D58)</f>
        <v>0.62514394175234278</v>
      </c>
      <c r="H58" s="30">
        <v>86698.400872398066</v>
      </c>
      <c r="I58" s="30">
        <v>95701.39</v>
      </c>
      <c r="J58" s="30">
        <v>62977.34</v>
      </c>
      <c r="K58" s="30">
        <v>49275.12</v>
      </c>
      <c r="L58" s="8">
        <v>32458.95</v>
      </c>
      <c r="M58" s="8">
        <v>29111.09</v>
      </c>
      <c r="N58" s="29">
        <v>45806</v>
      </c>
    </row>
    <row r="59" spans="2:19" ht="12.75" customHeight="1" x14ac:dyDescent="0.2">
      <c r="B59" s="2" t="s">
        <v>8</v>
      </c>
      <c r="C59" s="30">
        <f>[4]SFY21_WIOA_Allocations!C15*0.9</f>
        <v>118770.3</v>
      </c>
      <c r="D59" s="30">
        <v>88666.980050601458</v>
      </c>
      <c r="E59" s="8">
        <f>C59-D59</f>
        <v>30103.319949398545</v>
      </c>
      <c r="F59" s="9">
        <f>-1+(C59/D59)</f>
        <v>0.3395099272831763</v>
      </c>
      <c r="H59" s="30">
        <v>73084.348373007713</v>
      </c>
      <c r="I59" s="30">
        <v>70823.56</v>
      </c>
      <c r="J59" s="30">
        <v>46824.45</v>
      </c>
      <c r="K59" s="30">
        <v>43728.45</v>
      </c>
      <c r="L59" s="8">
        <v>39584.300000000003</v>
      </c>
      <c r="M59" s="8">
        <v>39091.47</v>
      </c>
      <c r="N59" s="30">
        <v>60495</v>
      </c>
    </row>
    <row r="60" spans="2:19" ht="12.75" customHeight="1" x14ac:dyDescent="0.2">
      <c r="B60" s="2" t="s">
        <v>9</v>
      </c>
      <c r="C60" s="30">
        <f>[4]SFY21_WIOA_Allocations!C16*0.9</f>
        <v>112940.1</v>
      </c>
      <c r="D60" s="30">
        <v>75854.4465187366</v>
      </c>
      <c r="E60" s="8">
        <f>C60-D60</f>
        <v>37085.653481263405</v>
      </c>
      <c r="F60" s="9">
        <f>-1+(C60/D60)</f>
        <v>0.48890546544430946</v>
      </c>
      <c r="H60" s="30">
        <v>59316.202878200951</v>
      </c>
      <c r="I60" s="30">
        <v>57759.56</v>
      </c>
      <c r="J60" s="30">
        <v>35937.519999999997</v>
      </c>
      <c r="K60" s="30">
        <v>33333.94</v>
      </c>
      <c r="L60" s="8">
        <v>33483.57</v>
      </c>
      <c r="M60" s="8">
        <v>35659.57</v>
      </c>
      <c r="N60" s="30">
        <v>43091</v>
      </c>
    </row>
    <row r="61" spans="2:19" ht="13.5" thickBot="1" x14ac:dyDescent="0.25">
      <c r="B61" s="2" t="s">
        <v>10</v>
      </c>
      <c r="C61" s="30">
        <f>[4]SFY21_WIOA_Allocations!C17*0.9</f>
        <v>345925.8</v>
      </c>
      <c r="D61" s="52">
        <v>279764.04667539604</v>
      </c>
      <c r="E61" s="8">
        <f>C61-D61</f>
        <v>66161.753324603953</v>
      </c>
      <c r="F61" s="9">
        <f>-1+(C61/D61)</f>
        <v>0.23649126508871943</v>
      </c>
      <c r="H61" s="52">
        <v>242455.6966486632</v>
      </c>
      <c r="I61" s="52">
        <v>200779.49</v>
      </c>
      <c r="J61" s="52">
        <v>121913.69</v>
      </c>
      <c r="K61" s="52">
        <v>107921.49</v>
      </c>
      <c r="L61" s="8">
        <v>104539.18</v>
      </c>
      <c r="M61" s="8">
        <v>116527.87</v>
      </c>
      <c r="N61" s="30">
        <v>116044</v>
      </c>
    </row>
    <row r="62" spans="2:19" ht="13.5" thickBot="1" x14ac:dyDescent="0.25">
      <c r="C62" s="57">
        <f>SUM(C58:C61)</f>
        <v>757584.89999999991</v>
      </c>
      <c r="D62" s="31">
        <f>SUM(D58:D61)</f>
        <v>555013.32656089449</v>
      </c>
      <c r="E62" s="11">
        <f>C62-D62</f>
        <v>202571.57343910541</v>
      </c>
      <c r="F62" s="9">
        <f>-1+(C62/D62)</f>
        <v>0.36498506206027082</v>
      </c>
      <c r="H62" s="31">
        <f t="shared" ref="H62:M62" si="24">SUM(H58:H61)</f>
        <v>461554.64877226995</v>
      </c>
      <c r="I62" s="31">
        <f t="shared" si="24"/>
        <v>425064</v>
      </c>
      <c r="J62" s="31">
        <f t="shared" si="24"/>
        <v>267653</v>
      </c>
      <c r="K62" s="31">
        <f t="shared" si="24"/>
        <v>234259</v>
      </c>
      <c r="L62" s="11">
        <f t="shared" si="24"/>
        <v>210066</v>
      </c>
      <c r="M62" s="11">
        <f t="shared" si="24"/>
        <v>220390</v>
      </c>
      <c r="N62" s="30">
        <v>265436</v>
      </c>
    </row>
    <row r="63" spans="2:19" x14ac:dyDescent="0.2">
      <c r="C63" s="32">
        <f>C62+C53</f>
        <v>841760.99999999988</v>
      </c>
      <c r="D63" s="32"/>
      <c r="H63" s="32"/>
      <c r="I63" s="32"/>
      <c r="J63" s="32"/>
      <c r="K63" s="32"/>
      <c r="N63" s="32"/>
    </row>
    <row r="64" spans="2:19" x14ac:dyDescent="0.2">
      <c r="B64" s="23" t="s">
        <v>26</v>
      </c>
      <c r="C64" s="13">
        <f>C13+C22+C32+C41+C53+C62</f>
        <v>2315987</v>
      </c>
      <c r="D64" s="13">
        <f>D13+D22+D32+D41+D53+D62</f>
        <v>1827685.5198759558</v>
      </c>
      <c r="H64" s="13">
        <f>H13+H22+H32+H41+H53+H62</f>
        <v>1631897.6641830297</v>
      </c>
      <c r="I64" s="13">
        <f t="shared" ref="I64:N64" si="25">I13+I22+I32+I41+I53+I62</f>
        <v>1512000</v>
      </c>
      <c r="J64" s="13">
        <f t="shared" si="25"/>
        <v>1058610</v>
      </c>
      <c r="K64" s="13">
        <f t="shared" si="25"/>
        <v>973092.99</v>
      </c>
      <c r="L64" s="13">
        <f t="shared" si="25"/>
        <v>845539.99</v>
      </c>
      <c r="M64" s="13">
        <f t="shared" si="25"/>
        <v>745119</v>
      </c>
      <c r="N64" s="13">
        <f t="shared" si="25"/>
        <v>804617</v>
      </c>
    </row>
    <row r="65" spans="2:16" x14ac:dyDescent="0.2">
      <c r="B65" t="s">
        <v>32</v>
      </c>
      <c r="C65" s="38">
        <f>C64/D64</f>
        <v>1.2671693104824648</v>
      </c>
      <c r="D65" s="38">
        <f>D64/H64</f>
        <v>1.119975571992097</v>
      </c>
      <c r="H65" s="38">
        <f>H64/M64</f>
        <v>2.1901168325905389</v>
      </c>
      <c r="I65" s="38">
        <f>I64/J64</f>
        <v>1.428288038087681</v>
      </c>
      <c r="J65" s="38">
        <f>J64/K64</f>
        <v>1.0878816422261968</v>
      </c>
      <c r="K65" s="38">
        <f>K64/L64</f>
        <v>1.1508538939713544</v>
      </c>
      <c r="L65" s="38">
        <f>L64/M64</f>
        <v>1.1347717478684614</v>
      </c>
      <c r="M65" s="38">
        <f>M64/N64</f>
        <v>0.92605425935569341</v>
      </c>
    </row>
    <row r="66" spans="2:16" x14ac:dyDescent="0.2">
      <c r="D66" t="s">
        <v>106</v>
      </c>
      <c r="E66" t="s">
        <v>107</v>
      </c>
      <c r="P66" s="23" t="s">
        <v>108</v>
      </c>
    </row>
    <row r="67" spans="2:16" x14ac:dyDescent="0.2">
      <c r="D67" s="13">
        <f>D18+D37+D58</f>
        <v>391577.04939207778</v>
      </c>
      <c r="E67" s="13">
        <f>D67-'[5]20-21 MOU'!$B$65</f>
        <v>357370.5922977702</v>
      </c>
      <c r="P67" s="6">
        <f>R8+R27+C48</f>
        <v>25283</v>
      </c>
    </row>
    <row r="68" spans="2:16" x14ac:dyDescent="0.2">
      <c r="D68" s="13">
        <f t="shared" ref="D68:D69" si="26">D19+D38+D59</f>
        <v>259173.26378810877</v>
      </c>
      <c r="E68" s="13">
        <f>D68-'[5]20-21 MOU'!$C$65</f>
        <v>222470.06758557714</v>
      </c>
      <c r="P68" s="6">
        <f t="shared" ref="P68:P70" si="27">R9+R28+C49</f>
        <v>14241.2</v>
      </c>
    </row>
    <row r="69" spans="2:16" x14ac:dyDescent="0.2">
      <c r="D69" s="13">
        <f t="shared" si="26"/>
        <v>244272.30476215979</v>
      </c>
      <c r="E69" s="13">
        <f>D69-'[5]20-21 MOU'!$D$65</f>
        <v>231310.81129607392</v>
      </c>
      <c r="P69" s="6">
        <f t="shared" si="27"/>
        <v>14703.760000000002</v>
      </c>
    </row>
    <row r="70" spans="2:16" x14ac:dyDescent="0.2">
      <c r="D70" s="13">
        <f>D21+D40+D61</f>
        <v>749894.34994601388</v>
      </c>
      <c r="E70" s="13">
        <f>D70-'[5]20-21 MOU'!$E$65</f>
        <v>732424.72156763554</v>
      </c>
      <c r="P70" s="6">
        <f t="shared" si="27"/>
        <v>38411.56</v>
      </c>
    </row>
    <row r="71" spans="2:16" x14ac:dyDescent="0.2">
      <c r="P71" s="96">
        <f>R12+R31+C52</f>
        <v>138959.28</v>
      </c>
    </row>
    <row r="72" spans="2:16" ht="13.5" thickBot="1" x14ac:dyDescent="0.25">
      <c r="P72" s="34">
        <f>SUM(P67:P71)</f>
        <v>231598.8</v>
      </c>
    </row>
    <row r="73" spans="2:16" ht="13.5" thickTop="1" x14ac:dyDescent="0.2"/>
  </sheetData>
  <mergeCells count="1">
    <mergeCell ref="P1:Q1"/>
  </mergeCells>
  <pageMargins left="0.75" right="0.75" top="1" bottom="1" header="0.5" footer="0.5"/>
  <pageSetup scale="61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1"/>
  <sheetViews>
    <sheetView topLeftCell="A4" workbookViewId="0">
      <selection activeCell="C18" sqref="C18"/>
    </sheetView>
  </sheetViews>
  <sheetFormatPr defaultColWidth="9.140625" defaultRowHeight="15" x14ac:dyDescent="0.25"/>
  <cols>
    <col min="1" max="1" width="10" style="123" bestFit="1" customWidth="1"/>
    <col min="2" max="2" width="9.85546875" style="123" bestFit="1" customWidth="1"/>
    <col min="3" max="3" width="11.5703125" style="123" bestFit="1" customWidth="1"/>
    <col min="4" max="4" width="9.140625" style="123" customWidth="1"/>
    <col min="5" max="5" width="11" style="123" customWidth="1"/>
    <col min="6" max="6" width="12.5703125" style="123" bestFit="1" customWidth="1"/>
    <col min="7" max="7" width="10" style="123" bestFit="1" customWidth="1"/>
    <col min="8" max="8" width="8.140625" style="123" bestFit="1" customWidth="1"/>
    <col min="9" max="9" width="10.28515625" style="123" customWidth="1"/>
    <col min="10" max="11" width="10" style="123" bestFit="1" customWidth="1"/>
    <col min="12" max="12" width="9.140625" style="123"/>
    <col min="13" max="13" width="10.140625" style="123" bestFit="1" customWidth="1"/>
    <col min="14" max="16384" width="9.140625" style="123"/>
  </cols>
  <sheetData>
    <row r="1" spans="1:11" x14ac:dyDescent="0.25">
      <c r="A1" s="198" t="s">
        <v>114</v>
      </c>
      <c r="B1" s="198"/>
      <c r="C1" s="198"/>
      <c r="D1" s="198"/>
      <c r="E1" s="198"/>
      <c r="F1" s="198"/>
      <c r="G1" s="198"/>
      <c r="H1" s="198"/>
      <c r="I1" s="198"/>
      <c r="J1" s="198"/>
      <c r="K1" s="199" t="s">
        <v>115</v>
      </c>
    </row>
    <row r="2" spans="1:11" x14ac:dyDescent="0.2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9"/>
    </row>
    <row r="3" spans="1:11" x14ac:dyDescent="0.25">
      <c r="A3" s="123" t="s">
        <v>116</v>
      </c>
      <c r="B3" s="123" t="s">
        <v>117</v>
      </c>
    </row>
    <row r="4" spans="1:11" ht="18.75" x14ac:dyDescent="0.3">
      <c r="B4" s="195" t="s">
        <v>63</v>
      </c>
      <c r="C4" s="195"/>
      <c r="D4" s="196" t="s">
        <v>64</v>
      </c>
      <c r="E4" s="196"/>
      <c r="F4" s="196"/>
      <c r="G4" s="196"/>
      <c r="H4" s="197" t="s">
        <v>62</v>
      </c>
      <c r="I4" s="197"/>
      <c r="J4" s="197"/>
      <c r="K4" s="197"/>
    </row>
    <row r="5" spans="1:11" x14ac:dyDescent="0.25">
      <c r="A5" s="124" t="s">
        <v>2</v>
      </c>
      <c r="B5" s="125" t="s">
        <v>118</v>
      </c>
      <c r="C5" s="125" t="s">
        <v>119</v>
      </c>
      <c r="D5" s="125" t="s">
        <v>120</v>
      </c>
      <c r="E5" s="125" t="s">
        <v>121</v>
      </c>
      <c r="F5" s="125" t="s">
        <v>122</v>
      </c>
      <c r="G5" s="125" t="s">
        <v>123</v>
      </c>
      <c r="H5" s="125" t="s">
        <v>124</v>
      </c>
      <c r="I5" s="125" t="s">
        <v>125</v>
      </c>
      <c r="J5" s="125" t="s">
        <v>126</v>
      </c>
      <c r="K5" s="125" t="s">
        <v>127</v>
      </c>
    </row>
    <row r="6" spans="1:11" x14ac:dyDescent="0.25">
      <c r="A6" s="126" t="s">
        <v>128</v>
      </c>
      <c r="B6" s="127">
        <v>0.574444778652205</v>
      </c>
      <c r="C6" s="128">
        <v>639785</v>
      </c>
      <c r="D6" s="127">
        <v>0.47610562787671068</v>
      </c>
      <c r="E6" s="128">
        <v>419241</v>
      </c>
      <c r="F6" s="129">
        <v>69990</v>
      </c>
      <c r="G6" s="128">
        <v>349251</v>
      </c>
      <c r="H6" s="127">
        <v>0.34334752825027715</v>
      </c>
      <c r="I6" s="128">
        <v>31449</v>
      </c>
      <c r="J6" s="129">
        <v>140770</v>
      </c>
      <c r="K6" s="128">
        <v>172219</v>
      </c>
    </row>
    <row r="7" spans="1:11" x14ac:dyDescent="0.25">
      <c r="A7" s="130" t="s">
        <v>129</v>
      </c>
      <c r="B7" s="131">
        <v>0.24572231525169586</v>
      </c>
      <c r="C7" s="132">
        <v>273672</v>
      </c>
      <c r="D7" s="131">
        <v>0.29911431663606125</v>
      </c>
      <c r="E7" s="132">
        <v>263389</v>
      </c>
      <c r="F7" s="133">
        <v>43971</v>
      </c>
      <c r="G7" s="132">
        <v>219418</v>
      </c>
      <c r="H7" s="131">
        <v>0.4523014904662791</v>
      </c>
      <c r="I7" s="132">
        <v>41428</v>
      </c>
      <c r="J7" s="133">
        <v>185441</v>
      </c>
      <c r="K7" s="132">
        <v>226869</v>
      </c>
    </row>
    <row r="8" spans="1:11" ht="15.75" thickBot="1" x14ac:dyDescent="0.3">
      <c r="A8" s="126" t="s">
        <v>130</v>
      </c>
      <c r="B8" s="127">
        <v>0.1798329060960992</v>
      </c>
      <c r="C8" s="128">
        <v>200288</v>
      </c>
      <c r="D8" s="127">
        <v>0.22478005548722807</v>
      </c>
      <c r="E8" s="128">
        <v>197933</v>
      </c>
      <c r="F8" s="129">
        <v>33044</v>
      </c>
      <c r="G8" s="128">
        <v>164889</v>
      </c>
      <c r="H8" s="127">
        <v>0.20435098128344378</v>
      </c>
      <c r="I8" s="128">
        <v>18717</v>
      </c>
      <c r="J8" s="129">
        <v>83783</v>
      </c>
      <c r="K8" s="128">
        <v>102500</v>
      </c>
    </row>
    <row r="9" spans="1:11" ht="15.75" thickTop="1" x14ac:dyDescent="0.25">
      <c r="A9" s="134" t="s">
        <v>73</v>
      </c>
      <c r="B9" s="135">
        <v>1</v>
      </c>
      <c r="C9" s="136">
        <v>1113745</v>
      </c>
      <c r="D9" s="135">
        <v>1</v>
      </c>
      <c r="E9" s="136">
        <v>880563</v>
      </c>
      <c r="F9" s="137">
        <v>147005</v>
      </c>
      <c r="G9" s="136">
        <v>733558</v>
      </c>
      <c r="H9" s="135">
        <v>1</v>
      </c>
      <c r="I9" s="136">
        <v>91594</v>
      </c>
      <c r="J9" s="137">
        <v>409994</v>
      </c>
      <c r="K9" s="136">
        <v>501588</v>
      </c>
    </row>
    <row r="11" spans="1:11" x14ac:dyDescent="0.25">
      <c r="A11" s="123" t="s">
        <v>116</v>
      </c>
      <c r="B11" s="123" t="s">
        <v>131</v>
      </c>
    </row>
    <row r="12" spans="1:11" ht="18.75" x14ac:dyDescent="0.3">
      <c r="B12" s="195" t="s">
        <v>63</v>
      </c>
      <c r="C12" s="195"/>
      <c r="D12" s="196" t="s">
        <v>64</v>
      </c>
      <c r="E12" s="196"/>
      <c r="F12" s="196"/>
      <c r="G12" s="196"/>
      <c r="H12" s="197" t="s">
        <v>62</v>
      </c>
      <c r="I12" s="197"/>
      <c r="J12" s="197"/>
      <c r="K12" s="197"/>
    </row>
    <row r="13" spans="1:11" x14ac:dyDescent="0.25">
      <c r="A13" s="124" t="s">
        <v>2</v>
      </c>
      <c r="B13" s="125" t="s">
        <v>118</v>
      </c>
      <c r="C13" s="125" t="s">
        <v>119</v>
      </c>
      <c r="D13" s="125" t="s">
        <v>120</v>
      </c>
      <c r="E13" s="125" t="s">
        <v>121</v>
      </c>
      <c r="F13" s="125" t="s">
        <v>122</v>
      </c>
      <c r="G13" s="125" t="s">
        <v>123</v>
      </c>
      <c r="H13" s="125" t="s">
        <v>124</v>
      </c>
      <c r="I13" s="125" t="s">
        <v>125</v>
      </c>
      <c r="J13" s="125" t="s">
        <v>126</v>
      </c>
      <c r="K13" s="125" t="s">
        <v>127</v>
      </c>
    </row>
    <row r="14" spans="1:11" x14ac:dyDescent="0.25">
      <c r="A14" s="126" t="s">
        <v>7</v>
      </c>
      <c r="B14" s="127">
        <v>0.23752941749498968</v>
      </c>
      <c r="C14" s="128">
        <v>199943</v>
      </c>
      <c r="D14" s="127">
        <v>0.23554426241942528</v>
      </c>
      <c r="E14" s="128">
        <v>192536</v>
      </c>
      <c r="F14" s="129">
        <v>32143</v>
      </c>
      <c r="G14" s="128">
        <v>160393</v>
      </c>
      <c r="H14" s="127">
        <v>0.36478293834821823</v>
      </c>
      <c r="I14" s="128">
        <v>43753</v>
      </c>
      <c r="J14" s="129">
        <v>195843</v>
      </c>
      <c r="K14" s="128">
        <v>239596</v>
      </c>
    </row>
    <row r="15" spans="1:11" x14ac:dyDescent="0.25">
      <c r="A15" s="130" t="s">
        <v>8</v>
      </c>
      <c r="B15" s="131">
        <v>0.15677490404045805</v>
      </c>
      <c r="C15" s="132">
        <v>131967</v>
      </c>
      <c r="D15" s="131">
        <v>0.15542892236322331</v>
      </c>
      <c r="E15" s="132">
        <v>127049</v>
      </c>
      <c r="F15" s="133">
        <v>21210</v>
      </c>
      <c r="G15" s="132">
        <v>105839</v>
      </c>
      <c r="H15" s="131">
        <v>0.14770301666519492</v>
      </c>
      <c r="I15" s="132">
        <v>17716</v>
      </c>
      <c r="J15" s="133">
        <v>79298</v>
      </c>
      <c r="K15" s="132">
        <v>97014</v>
      </c>
    </row>
    <row r="16" spans="1:11" x14ac:dyDescent="0.25">
      <c r="A16" s="126" t="s">
        <v>9</v>
      </c>
      <c r="B16" s="127">
        <v>0.14907913291302399</v>
      </c>
      <c r="C16" s="128">
        <v>125489</v>
      </c>
      <c r="D16" s="127">
        <v>0.16124363690637122</v>
      </c>
      <c r="E16" s="128">
        <v>131802</v>
      </c>
      <c r="F16" s="129">
        <v>22004</v>
      </c>
      <c r="G16" s="128">
        <v>109798</v>
      </c>
      <c r="H16" s="127">
        <v>0.16793540980910998</v>
      </c>
      <c r="I16" s="128">
        <v>20142</v>
      </c>
      <c r="J16" s="129">
        <v>90161</v>
      </c>
      <c r="K16" s="128">
        <v>110303</v>
      </c>
    </row>
    <row r="17" spans="1:11" ht="15.75" thickBot="1" x14ac:dyDescent="0.3">
      <c r="A17" s="130" t="s">
        <v>10</v>
      </c>
      <c r="B17" s="131">
        <v>0.45661654555152831</v>
      </c>
      <c r="C17" s="132">
        <v>384362</v>
      </c>
      <c r="D17" s="131">
        <v>0.44778317831098019</v>
      </c>
      <c r="E17" s="132">
        <v>366022</v>
      </c>
      <c r="F17" s="133">
        <v>61105</v>
      </c>
      <c r="G17" s="132">
        <v>304917</v>
      </c>
      <c r="H17" s="131">
        <v>0.31957863517747687</v>
      </c>
      <c r="I17" s="132">
        <v>38331</v>
      </c>
      <c r="J17" s="133">
        <v>171574</v>
      </c>
      <c r="K17" s="132">
        <v>209905</v>
      </c>
    </row>
    <row r="18" spans="1:11" ht="15.75" thickTop="1" x14ac:dyDescent="0.25">
      <c r="A18" s="138" t="s">
        <v>73</v>
      </c>
      <c r="B18" s="139">
        <v>1</v>
      </c>
      <c r="C18" s="140">
        <v>841761</v>
      </c>
      <c r="D18" s="139">
        <v>1</v>
      </c>
      <c r="E18" s="140">
        <v>817409</v>
      </c>
      <c r="F18" s="141">
        <v>136462</v>
      </c>
      <c r="G18" s="142">
        <v>680947</v>
      </c>
      <c r="H18" s="139">
        <v>1</v>
      </c>
      <c r="I18" s="142">
        <v>119942</v>
      </c>
      <c r="J18" s="141">
        <v>536876</v>
      </c>
      <c r="K18" s="140">
        <v>656818</v>
      </c>
    </row>
    <row r="19" spans="1:11" x14ac:dyDescent="0.25">
      <c r="F19" s="143">
        <f>F18*0.1</f>
        <v>13646.2</v>
      </c>
      <c r="G19" s="144">
        <f>G18+F18</f>
        <v>817409</v>
      </c>
    </row>
    <row r="20" spans="1:11" x14ac:dyDescent="0.25">
      <c r="A20" s="123" t="s">
        <v>116</v>
      </c>
      <c r="B20" s="123" t="s">
        <v>132</v>
      </c>
      <c r="F20" s="143">
        <f>F18-F19</f>
        <v>122815.8</v>
      </c>
    </row>
    <row r="21" spans="1:11" ht="18.75" x14ac:dyDescent="0.3">
      <c r="B21" s="195" t="s">
        <v>63</v>
      </c>
      <c r="C21" s="195"/>
      <c r="D21" s="196" t="s">
        <v>64</v>
      </c>
      <c r="E21" s="196"/>
      <c r="F21" s="196"/>
      <c r="G21" s="196"/>
      <c r="H21" s="197" t="s">
        <v>62</v>
      </c>
      <c r="I21" s="197"/>
      <c r="J21" s="197"/>
      <c r="K21" s="197"/>
    </row>
    <row r="22" spans="1:11" x14ac:dyDescent="0.25">
      <c r="A22" s="124" t="s">
        <v>2</v>
      </c>
      <c r="B22" s="125" t="s">
        <v>118</v>
      </c>
      <c r="C22" s="125" t="s">
        <v>119</v>
      </c>
      <c r="D22" s="125" t="s">
        <v>120</v>
      </c>
      <c r="E22" s="125" t="s">
        <v>121</v>
      </c>
      <c r="F22" s="125" t="s">
        <v>122</v>
      </c>
      <c r="G22" s="125" t="s">
        <v>123</v>
      </c>
      <c r="H22" s="125" t="s">
        <v>124</v>
      </c>
      <c r="I22" s="125" t="s">
        <v>125</v>
      </c>
      <c r="J22" s="125" t="s">
        <v>126</v>
      </c>
      <c r="K22" s="125" t="s">
        <v>127</v>
      </c>
    </row>
    <row r="23" spans="1:11" x14ac:dyDescent="0.25">
      <c r="A23" s="126" t="s">
        <v>55</v>
      </c>
      <c r="B23" s="127">
        <v>0.31090283810530273</v>
      </c>
      <c r="C23" s="128">
        <v>347151</v>
      </c>
      <c r="D23" s="127">
        <v>0.32584387519818209</v>
      </c>
      <c r="E23" s="128">
        <v>351029</v>
      </c>
      <c r="F23" s="129">
        <v>58602</v>
      </c>
      <c r="G23" s="128">
        <v>292427</v>
      </c>
      <c r="H23" s="127">
        <v>0.32012143610702021</v>
      </c>
      <c r="I23" s="128">
        <v>43941</v>
      </c>
      <c r="J23" s="129">
        <v>196685</v>
      </c>
      <c r="K23" s="128">
        <v>240626</v>
      </c>
    </row>
    <row r="24" spans="1:11" x14ac:dyDescent="0.25">
      <c r="A24" s="130" t="s">
        <v>54</v>
      </c>
      <c r="B24" s="131">
        <v>0.11072282574624527</v>
      </c>
      <c r="C24" s="132">
        <v>123632</v>
      </c>
      <c r="D24" s="131">
        <v>0.1039848063477683</v>
      </c>
      <c r="E24" s="132">
        <v>112022</v>
      </c>
      <c r="F24" s="133">
        <v>18701</v>
      </c>
      <c r="G24" s="132">
        <v>93321</v>
      </c>
      <c r="H24" s="131">
        <v>0.10748585484873036</v>
      </c>
      <c r="I24" s="132">
        <v>14754</v>
      </c>
      <c r="J24" s="133">
        <v>66040</v>
      </c>
      <c r="K24" s="132">
        <v>80794</v>
      </c>
    </row>
    <row r="25" spans="1:11" x14ac:dyDescent="0.25">
      <c r="A25" s="126" t="s">
        <v>53</v>
      </c>
      <c r="B25" s="127">
        <v>5.7516187678557033E-2</v>
      </c>
      <c r="C25" s="128">
        <v>64222</v>
      </c>
      <c r="D25" s="127">
        <v>5.9285690416340228E-2</v>
      </c>
      <c r="E25" s="128">
        <v>63868</v>
      </c>
      <c r="F25" s="129">
        <v>10662</v>
      </c>
      <c r="G25" s="128">
        <v>53206</v>
      </c>
      <c r="H25" s="127">
        <v>6.4795635324497017E-2</v>
      </c>
      <c r="I25" s="128">
        <v>8894</v>
      </c>
      <c r="J25" s="129">
        <v>39811</v>
      </c>
      <c r="K25" s="128">
        <v>48705</v>
      </c>
    </row>
    <row r="26" spans="1:11" ht="15.75" thickBot="1" x14ac:dyDescent="0.3">
      <c r="A26" s="130" t="s">
        <v>52</v>
      </c>
      <c r="B26" s="131">
        <v>0.52085814846989498</v>
      </c>
      <c r="C26" s="132">
        <v>581585</v>
      </c>
      <c r="D26" s="131">
        <v>0.51088562803770932</v>
      </c>
      <c r="E26" s="132">
        <v>550373</v>
      </c>
      <c r="F26" s="133">
        <v>91881</v>
      </c>
      <c r="G26" s="132">
        <v>458492</v>
      </c>
      <c r="H26" s="131">
        <v>0.50759707371975238</v>
      </c>
      <c r="I26" s="132">
        <v>69674</v>
      </c>
      <c r="J26" s="133">
        <v>311872</v>
      </c>
      <c r="K26" s="132">
        <v>381546</v>
      </c>
    </row>
    <row r="27" spans="1:11" ht="15.75" thickTop="1" x14ac:dyDescent="0.25">
      <c r="A27" s="138" t="s">
        <v>73</v>
      </c>
      <c r="B27" s="139">
        <v>1</v>
      </c>
      <c r="C27" s="142">
        <v>1116590</v>
      </c>
      <c r="D27" s="139">
        <v>1</v>
      </c>
      <c r="E27" s="142">
        <v>1077292</v>
      </c>
      <c r="F27" s="141">
        <v>179846</v>
      </c>
      <c r="G27" s="142">
        <v>897446</v>
      </c>
      <c r="H27" s="139">
        <v>1</v>
      </c>
      <c r="I27" s="142">
        <v>137263</v>
      </c>
      <c r="J27" s="141">
        <v>614408</v>
      </c>
      <c r="K27" s="142">
        <v>751671</v>
      </c>
    </row>
    <row r="91" spans="13:13" x14ac:dyDescent="0.25">
      <c r="M91" s="145"/>
    </row>
  </sheetData>
  <mergeCells count="11">
    <mergeCell ref="B21:C21"/>
    <mergeCell ref="D21:G21"/>
    <mergeCell ref="H21:K21"/>
    <mergeCell ref="A1:J2"/>
    <mergeCell ref="K1:K2"/>
    <mergeCell ref="B4:C4"/>
    <mergeCell ref="D4:G4"/>
    <mergeCell ref="H4:K4"/>
    <mergeCell ref="B12:C12"/>
    <mergeCell ref="D12:G12"/>
    <mergeCell ref="H12:K1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8</vt:i4>
      </vt:variant>
    </vt:vector>
  </HeadingPairs>
  <TitlesOfParts>
    <vt:vector size="24" baseType="lpstr">
      <vt:lpstr>Opt B chosen</vt:lpstr>
      <vt:lpstr>7-01-2023 to 6-30-2024</vt:lpstr>
      <vt:lpstr>State eml Scott France</vt:lpstr>
      <vt:lpstr>7-01-2022 to 6-30-2023</vt:lpstr>
      <vt:lpstr>State eml 4-1-22 Scott France</vt:lpstr>
      <vt:lpstr>7-01-2021 to 6-30-2022</vt:lpstr>
      <vt:lpstr>State eml 6-1-21 Anne Dennison</vt:lpstr>
      <vt:lpstr>7-01-2020 to 6-30-2021</vt:lpstr>
      <vt:lpstr>SFY21_WIOA_Allocations</vt:lpstr>
      <vt:lpstr>07012019 to 06302020</vt:lpstr>
      <vt:lpstr>Scott 5-29-19</vt:lpstr>
      <vt:lpstr>Orig Scott 5-10-18</vt:lpstr>
      <vt:lpstr>Sara Ballard eml 6-5-18</vt:lpstr>
      <vt:lpstr>07012018 to 06302019</vt:lpstr>
      <vt:lpstr>Add'l 7012017 to 6302018</vt:lpstr>
      <vt:lpstr>Given May-June 2017 CFIS screen</vt:lpstr>
      <vt:lpstr>'07012018 to 06302019'!Print_Area</vt:lpstr>
      <vt:lpstr>'07012019 to 06302020'!Print_Area</vt:lpstr>
      <vt:lpstr>'7-01-2020 to 6-30-2021'!Print_Area</vt:lpstr>
      <vt:lpstr>'7-01-2021 to 6-30-2022'!Print_Area</vt:lpstr>
      <vt:lpstr>'7-01-2022 to 6-30-2023'!Print_Area</vt:lpstr>
      <vt:lpstr>'7-01-2023 to 6-30-2024'!Print_Area</vt:lpstr>
      <vt:lpstr>'Add''l 7012017 to 6302018'!Print_Area</vt:lpstr>
      <vt:lpstr>'Opt B chosen'!Print_Area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Safko</dc:creator>
  <cp:lastModifiedBy>Rebecca Safko</cp:lastModifiedBy>
  <cp:lastPrinted>2023-07-21T11:25:13Z</cp:lastPrinted>
  <dcterms:created xsi:type="dcterms:W3CDTF">2013-05-17T12:19:04Z</dcterms:created>
  <dcterms:modified xsi:type="dcterms:W3CDTF">2023-08-19T20:16:48Z</dcterms:modified>
</cp:coreProperties>
</file>